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F:\"/>
    </mc:Choice>
  </mc:AlternateContent>
  <xr:revisionPtr revIDLastSave="0" documentId="13_ncr:1_{8718AED0-29D4-430A-A581-C093CB73F1D9}" xr6:coauthVersionLast="47" xr6:coauthVersionMax="47" xr10:uidLastSave="{00000000-0000-0000-0000-000000000000}"/>
  <bookViews>
    <workbookView xWindow="-120" yWindow="-120" windowWidth="29040" windowHeight="15720" firstSheet="4" activeTab="6" xr2:uid="{00000000-000D-0000-FFFF-FFFF00000000}"/>
  </bookViews>
  <sheets>
    <sheet name="Sheet2" sheetId="3" state="hidden" r:id="rId1"/>
    <sheet name="Sheet3" sheetId="4" state="hidden" r:id="rId2"/>
    <sheet name="Sheet1 (3)" sheetId="5" state="hidden" r:id="rId3"/>
    <sheet name="Sheet1 (2)" sheetId="2" state="hidden" r:id="rId4"/>
    <sheet name="Plano Exekusaun SV 2026" sheetId="19" r:id="rId5"/>
    <sheet name="Plano Exekusaun BS Aluguer" sheetId="20" r:id="rId6"/>
    <sheet name="Plano Exekusaun BS 2026 " sheetId="21" r:id="rId7"/>
    <sheet name="Sheet1" sheetId="16" r:id="rId8"/>
    <sheet name="Planeamento" sheetId="22" r:id="rId9"/>
    <sheet name="Aprovisionamento" sheetId="24" r:id="rId10"/>
    <sheet name="Salario Vensimento" sheetId="25" r:id="rId11"/>
    <sheet name="Pedido Q1 " sheetId="27" r:id="rId12"/>
  </sheets>
  <definedNames>
    <definedName name="_xlnm.Print_Area" localSheetId="9">Aprovisionamento!$B$1:$L$53</definedName>
    <definedName name="_xlnm.Print_Area" localSheetId="8">Planeamento!$B$1:$L$147</definedName>
    <definedName name="_xlnm.Print_Area" localSheetId="6">'Plano Exekusaun BS 2026 '!$A$1:$BM$34</definedName>
    <definedName name="_xlnm.Print_Area" localSheetId="5">'Plano Exekusaun BS Aluguer'!$A$1:$BM$43</definedName>
    <definedName name="_xlnm.Print_Area" localSheetId="4">'Plano Exekusaun SV 2026'!$A$1:$BM$31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1" i="27" l="1"/>
  <c r="F12" i="27"/>
  <c r="F13" i="27"/>
  <c r="F14" i="27"/>
  <c r="F15" i="27"/>
  <c r="F16" i="27"/>
  <c r="F17" i="27"/>
  <c r="F18" i="27"/>
  <c r="F19" i="27"/>
  <c r="F20" i="27"/>
  <c r="F21" i="27"/>
  <c r="F22" i="27"/>
  <c r="F23" i="27"/>
  <c r="F24" i="27"/>
  <c r="F25" i="27"/>
  <c r="F26" i="27"/>
  <c r="F27" i="27"/>
  <c r="F28" i="27"/>
  <c r="F29" i="27"/>
  <c r="F30" i="27"/>
  <c r="F31" i="27"/>
  <c r="F32" i="27"/>
  <c r="F33" i="27"/>
  <c r="F34" i="27"/>
  <c r="F35" i="27"/>
  <c r="F36" i="27"/>
  <c r="F37" i="27"/>
  <c r="F38" i="27"/>
  <c r="F39" i="27"/>
  <c r="F40" i="27"/>
  <c r="F41" i="27"/>
  <c r="F42" i="27"/>
  <c r="F43" i="27"/>
  <c r="F44" i="27"/>
  <c r="F45" i="27"/>
  <c r="F46" i="27"/>
  <c r="F47" i="27"/>
  <c r="F48" i="27"/>
  <c r="F49" i="27"/>
  <c r="F50" i="27"/>
  <c r="F51" i="27"/>
  <c r="F52" i="27"/>
  <c r="F53" i="27"/>
  <c r="F54" i="27"/>
  <c r="F10" i="27"/>
  <c r="F15" i="25"/>
  <c r="F16" i="25"/>
  <c r="K15" i="25"/>
  <c r="G15" i="25"/>
  <c r="K22" i="25"/>
  <c r="H21" i="25"/>
  <c r="J21" i="25"/>
  <c r="F21" i="25"/>
  <c r="F20" i="25"/>
  <c r="G20" i="25" s="1"/>
  <c r="H20" i="25" s="1"/>
  <c r="I20" i="25" s="1"/>
  <c r="F19" i="25"/>
  <c r="G19" i="25" s="1"/>
  <c r="H19" i="25" s="1"/>
  <c r="I19" i="25" s="1"/>
  <c r="J19" i="25" s="1"/>
  <c r="F18" i="25"/>
  <c r="G18" i="25" s="1"/>
  <c r="H18" i="25" s="1"/>
  <c r="H15" i="25"/>
  <c r="I15" i="25" s="1"/>
  <c r="J15" i="25" s="1"/>
  <c r="G16" i="25"/>
  <c r="G17" i="25"/>
  <c r="G12" i="24"/>
  <c r="G13" i="24"/>
  <c r="G20" i="24"/>
  <c r="G21" i="24"/>
  <c r="G22" i="24"/>
  <c r="G23" i="24"/>
  <c r="K23" i="24" s="1"/>
  <c r="G29" i="24"/>
  <c r="H29" i="24" s="1"/>
  <c r="G30" i="24"/>
  <c r="J30" i="24" s="1"/>
  <c r="G31" i="24"/>
  <c r="J31" i="24" s="1"/>
  <c r="G37" i="24"/>
  <c r="G44" i="24"/>
  <c r="G45" i="24"/>
  <c r="I20" i="24"/>
  <c r="K21" i="24"/>
  <c r="I22" i="24"/>
  <c r="K37" i="24"/>
  <c r="K38" i="24" s="1"/>
  <c r="K44" i="24"/>
  <c r="H45" i="24"/>
  <c r="K140" i="22"/>
  <c r="J140" i="22"/>
  <c r="I140" i="22"/>
  <c r="G140" i="22"/>
  <c r="K139" i="22"/>
  <c r="K141" i="22" s="1"/>
  <c r="J139" i="22"/>
  <c r="I139" i="22"/>
  <c r="H139" i="22"/>
  <c r="G139" i="22"/>
  <c r="I13" i="24"/>
  <c r="H12" i="24"/>
  <c r="K13" i="24"/>
  <c r="J13" i="24"/>
  <c r="K12" i="24"/>
  <c r="J12" i="24"/>
  <c r="I12" i="24"/>
  <c r="I15" i="22"/>
  <c r="J15" i="22"/>
  <c r="K15" i="22"/>
  <c r="H15" i="22"/>
  <c r="G126" i="22"/>
  <c r="K126" i="22" s="1"/>
  <c r="H129" i="22"/>
  <c r="G128" i="22"/>
  <c r="K128" i="22" s="1"/>
  <c r="G127" i="22"/>
  <c r="I127" i="22" s="1"/>
  <c r="G125" i="22"/>
  <c r="H125" i="22" s="1"/>
  <c r="I125" i="22" s="1"/>
  <c r="J125" i="22" s="1"/>
  <c r="K125" i="22" s="1"/>
  <c r="G124" i="22"/>
  <c r="H124" i="22" s="1"/>
  <c r="I124" i="22" s="1"/>
  <c r="J124" i="22" s="1"/>
  <c r="K124" i="22" s="1"/>
  <c r="G105" i="22"/>
  <c r="H105" i="22" s="1"/>
  <c r="G111" i="22"/>
  <c r="I111" i="22" s="1"/>
  <c r="G135" i="22"/>
  <c r="H135" i="22" s="1"/>
  <c r="G118" i="22"/>
  <c r="H118" i="22" s="1"/>
  <c r="G117" i="22"/>
  <c r="H117" i="22" s="1"/>
  <c r="G98" i="22"/>
  <c r="I98" i="22" s="1"/>
  <c r="G99" i="22"/>
  <c r="K99" i="22" s="1"/>
  <c r="G97" i="22"/>
  <c r="H97" i="22" s="1"/>
  <c r="G95" i="22"/>
  <c r="I95" i="22" s="1"/>
  <c r="G96" i="22"/>
  <c r="K96" i="22" s="1"/>
  <c r="G94" i="22"/>
  <c r="K94" i="22" s="1"/>
  <c r="G93" i="22"/>
  <c r="K93" i="22" s="1"/>
  <c r="G67" i="22"/>
  <c r="H67" i="22" s="1"/>
  <c r="I67" i="22" s="1"/>
  <c r="J67" i="22" s="1"/>
  <c r="K67" i="22" s="1"/>
  <c r="G66" i="22"/>
  <c r="H66" i="22" s="1"/>
  <c r="I66" i="22" s="1"/>
  <c r="J66" i="22" s="1"/>
  <c r="K66" i="22" s="1"/>
  <c r="G64" i="22"/>
  <c r="H64" i="22" s="1"/>
  <c r="I64" i="22" s="1"/>
  <c r="J64" i="22" s="1"/>
  <c r="K64" i="22" s="1"/>
  <c r="G79" i="22"/>
  <c r="H79" i="22" s="1"/>
  <c r="I79" i="22" s="1"/>
  <c r="J79" i="22" s="1"/>
  <c r="K79" i="22" s="1"/>
  <c r="G44" i="22"/>
  <c r="H44" i="22" s="1"/>
  <c r="I44" i="22" s="1"/>
  <c r="J44" i="22" s="1"/>
  <c r="K44" i="22" s="1"/>
  <c r="G45" i="22"/>
  <c r="H45" i="22" s="1"/>
  <c r="I45" i="22" s="1"/>
  <c r="J45" i="22" s="1"/>
  <c r="K45" i="22" s="1"/>
  <c r="G46" i="22"/>
  <c r="H46" i="22" s="1"/>
  <c r="I46" i="22" s="1"/>
  <c r="J46" i="22" s="1"/>
  <c r="K46" i="22" s="1"/>
  <c r="G47" i="22"/>
  <c r="H47" i="22" s="1"/>
  <c r="I47" i="22" s="1"/>
  <c r="J47" i="22" s="1"/>
  <c r="K47" i="22" s="1"/>
  <c r="G48" i="22"/>
  <c r="H48" i="22" s="1"/>
  <c r="I48" i="22" s="1"/>
  <c r="J48" i="22" s="1"/>
  <c r="K48" i="22" s="1"/>
  <c r="G49" i="22"/>
  <c r="H49" i="22" s="1"/>
  <c r="I49" i="22" s="1"/>
  <c r="J49" i="22" s="1"/>
  <c r="K49" i="22" s="1"/>
  <c r="G50" i="22"/>
  <c r="H50" i="22" s="1"/>
  <c r="I50" i="22" s="1"/>
  <c r="J50" i="22" s="1"/>
  <c r="K50" i="22" s="1"/>
  <c r="G51" i="22"/>
  <c r="H51" i="22" s="1"/>
  <c r="I51" i="22" s="1"/>
  <c r="J51" i="22" s="1"/>
  <c r="K51" i="22" s="1"/>
  <c r="G52" i="22"/>
  <c r="H52" i="22" s="1"/>
  <c r="I52" i="22" s="1"/>
  <c r="J52" i="22" s="1"/>
  <c r="K52" i="22" s="1"/>
  <c r="G53" i="22"/>
  <c r="H53" i="22" s="1"/>
  <c r="I53" i="22" s="1"/>
  <c r="J53" i="22" s="1"/>
  <c r="K53" i="22" s="1"/>
  <c r="G54" i="22"/>
  <c r="H54" i="22" s="1"/>
  <c r="I54" i="22" s="1"/>
  <c r="J54" i="22" s="1"/>
  <c r="K54" i="22" s="1"/>
  <c r="G55" i="22"/>
  <c r="H55" i="22" s="1"/>
  <c r="I55" i="22" s="1"/>
  <c r="J55" i="22" s="1"/>
  <c r="K55" i="22" s="1"/>
  <c r="G56" i="22"/>
  <c r="H56" i="22" s="1"/>
  <c r="I56" i="22" s="1"/>
  <c r="J56" i="22" s="1"/>
  <c r="K56" i="22" s="1"/>
  <c r="G57" i="22"/>
  <c r="H57" i="22" s="1"/>
  <c r="I57" i="22" s="1"/>
  <c r="J57" i="22" s="1"/>
  <c r="K57" i="22" s="1"/>
  <c r="G58" i="22"/>
  <c r="H58" i="22" s="1"/>
  <c r="I58" i="22" s="1"/>
  <c r="J58" i="22" s="1"/>
  <c r="K58" i="22" s="1"/>
  <c r="G59" i="22"/>
  <c r="H59" i="22" s="1"/>
  <c r="I59" i="22" s="1"/>
  <c r="J59" i="22" s="1"/>
  <c r="K59" i="22" s="1"/>
  <c r="G60" i="22"/>
  <c r="H60" i="22" s="1"/>
  <c r="I60" i="22" s="1"/>
  <c r="J60" i="22" s="1"/>
  <c r="K60" i="22" s="1"/>
  <c r="G61" i="22"/>
  <c r="H61" i="22" s="1"/>
  <c r="I61" i="22" s="1"/>
  <c r="J61" i="22" s="1"/>
  <c r="K61" i="22" s="1"/>
  <c r="G62" i="22"/>
  <c r="H62" i="22" s="1"/>
  <c r="I62" i="22" s="1"/>
  <c r="J62" i="22" s="1"/>
  <c r="K62" i="22" s="1"/>
  <c r="G63" i="22"/>
  <c r="H63" i="22" s="1"/>
  <c r="I63" i="22" s="1"/>
  <c r="J63" i="22" s="1"/>
  <c r="K63" i="22" s="1"/>
  <c r="G65" i="22"/>
  <c r="H65" i="22" s="1"/>
  <c r="I65" i="22" s="1"/>
  <c r="J65" i="22" s="1"/>
  <c r="K65" i="22" s="1"/>
  <c r="G68" i="22"/>
  <c r="H68" i="22" s="1"/>
  <c r="I68" i="22" s="1"/>
  <c r="J68" i="22" s="1"/>
  <c r="K68" i="22" s="1"/>
  <c r="G69" i="22"/>
  <c r="H69" i="22" s="1"/>
  <c r="I69" i="22" s="1"/>
  <c r="J69" i="22" s="1"/>
  <c r="K69" i="22" s="1"/>
  <c r="G70" i="22"/>
  <c r="H70" i="22" s="1"/>
  <c r="I70" i="22" s="1"/>
  <c r="J70" i="22" s="1"/>
  <c r="K70" i="22" s="1"/>
  <c r="G71" i="22"/>
  <c r="H71" i="22" s="1"/>
  <c r="I71" i="22" s="1"/>
  <c r="J71" i="22" s="1"/>
  <c r="K71" i="22" s="1"/>
  <c r="G72" i="22"/>
  <c r="H72" i="22" s="1"/>
  <c r="I72" i="22" s="1"/>
  <c r="J72" i="22" s="1"/>
  <c r="K72" i="22" s="1"/>
  <c r="G73" i="22"/>
  <c r="H73" i="22" s="1"/>
  <c r="I73" i="22" s="1"/>
  <c r="J73" i="22" s="1"/>
  <c r="K73" i="22" s="1"/>
  <c r="G74" i="22"/>
  <c r="H74" i="22" s="1"/>
  <c r="I74" i="22" s="1"/>
  <c r="J74" i="22" s="1"/>
  <c r="K74" i="22" s="1"/>
  <c r="G75" i="22"/>
  <c r="H75" i="22" s="1"/>
  <c r="I75" i="22" s="1"/>
  <c r="J75" i="22" s="1"/>
  <c r="K75" i="22" s="1"/>
  <c r="G76" i="22"/>
  <c r="H76" i="22" s="1"/>
  <c r="I76" i="22" s="1"/>
  <c r="J76" i="22" s="1"/>
  <c r="K76" i="22" s="1"/>
  <c r="G77" i="22"/>
  <c r="H77" i="22" s="1"/>
  <c r="I77" i="22" s="1"/>
  <c r="J77" i="22" s="1"/>
  <c r="K77" i="22" s="1"/>
  <c r="G78" i="22"/>
  <c r="H78" i="22" s="1"/>
  <c r="I78" i="22" s="1"/>
  <c r="J78" i="22" s="1"/>
  <c r="K78" i="22" s="1"/>
  <c r="G80" i="22"/>
  <c r="H80" i="22" s="1"/>
  <c r="I80" i="22" s="1"/>
  <c r="J80" i="22" s="1"/>
  <c r="K80" i="22" s="1"/>
  <c r="G81" i="22"/>
  <c r="H81" i="22" s="1"/>
  <c r="I81" i="22" s="1"/>
  <c r="J81" i="22" s="1"/>
  <c r="K81" i="22" s="1"/>
  <c r="G82" i="22"/>
  <c r="H82" i="22" s="1"/>
  <c r="I82" i="22" s="1"/>
  <c r="J82" i="22" s="1"/>
  <c r="K82" i="22" s="1"/>
  <c r="G83" i="22"/>
  <c r="H83" i="22" s="1"/>
  <c r="I83" i="22" s="1"/>
  <c r="J83" i="22" s="1"/>
  <c r="K83" i="22" s="1"/>
  <c r="G84" i="22"/>
  <c r="H84" i="22" s="1"/>
  <c r="I84" i="22" s="1"/>
  <c r="J84" i="22" s="1"/>
  <c r="K84" i="22" s="1"/>
  <c r="G85" i="22"/>
  <c r="H85" i="22" s="1"/>
  <c r="I85" i="22" s="1"/>
  <c r="J85" i="22" s="1"/>
  <c r="K85" i="22" s="1"/>
  <c r="G86" i="22"/>
  <c r="H86" i="22" s="1"/>
  <c r="I86" i="22" s="1"/>
  <c r="J86" i="22" s="1"/>
  <c r="K86" i="22" s="1"/>
  <c r="G87" i="22"/>
  <c r="H87" i="22" s="1"/>
  <c r="I87" i="22" s="1"/>
  <c r="J87" i="22" s="1"/>
  <c r="K87" i="22" s="1"/>
  <c r="G43" i="22"/>
  <c r="H43" i="22" s="1"/>
  <c r="F55" i="27" l="1"/>
  <c r="K17" i="25"/>
  <c r="J20" i="25"/>
  <c r="K20" i="25" s="1"/>
  <c r="I18" i="25"/>
  <c r="J18" i="25" s="1"/>
  <c r="K19" i="25"/>
  <c r="H17" i="25"/>
  <c r="I17" i="25" s="1"/>
  <c r="J17" i="25" s="1"/>
  <c r="H16" i="25"/>
  <c r="I141" i="22"/>
  <c r="J141" i="22"/>
  <c r="L139" i="22"/>
  <c r="L140" i="22"/>
  <c r="H141" i="22"/>
  <c r="H119" i="22"/>
  <c r="H88" i="22"/>
  <c r="H14" i="24"/>
  <c r="J14" i="24"/>
  <c r="K14" i="24"/>
  <c r="I14" i="24"/>
  <c r="L12" i="24"/>
  <c r="L13" i="24"/>
  <c r="I45" i="24"/>
  <c r="J45" i="24"/>
  <c r="K45" i="24"/>
  <c r="K46" i="24" s="1"/>
  <c r="I31" i="24"/>
  <c r="H22" i="24"/>
  <c r="K31" i="24"/>
  <c r="J22" i="24"/>
  <c r="K22" i="24"/>
  <c r="H44" i="24"/>
  <c r="H30" i="24"/>
  <c r="I44" i="24"/>
  <c r="H23" i="24"/>
  <c r="I30" i="24"/>
  <c r="K20" i="24"/>
  <c r="I23" i="24"/>
  <c r="K30" i="24"/>
  <c r="J23" i="24"/>
  <c r="H31" i="24"/>
  <c r="H21" i="24"/>
  <c r="J21" i="24"/>
  <c r="I29" i="24"/>
  <c r="H37" i="24"/>
  <c r="H38" i="24" s="1"/>
  <c r="I21" i="24"/>
  <c r="I24" i="24" s="1"/>
  <c r="H20" i="24"/>
  <c r="J29" i="24"/>
  <c r="J32" i="24" s="1"/>
  <c r="I37" i="24"/>
  <c r="I38" i="24" s="1"/>
  <c r="K29" i="24"/>
  <c r="L124" i="22"/>
  <c r="L125" i="22"/>
  <c r="H126" i="22"/>
  <c r="H127" i="22"/>
  <c r="H128" i="22"/>
  <c r="I129" i="22"/>
  <c r="H111" i="22"/>
  <c r="K111" i="22"/>
  <c r="I105" i="22"/>
  <c r="K105" i="22"/>
  <c r="J105" i="22"/>
  <c r="L87" i="22"/>
  <c r="L71" i="22"/>
  <c r="L70" i="22"/>
  <c r="L69" i="22"/>
  <c r="L79" i="22"/>
  <c r="L58" i="22"/>
  <c r="L63" i="22"/>
  <c r="L78" i="22"/>
  <c r="L55" i="22"/>
  <c r="L86" i="22"/>
  <c r="L77" i="22"/>
  <c r="L50" i="22"/>
  <c r="L74" i="22"/>
  <c r="L47" i="22"/>
  <c r="L84" i="22"/>
  <c r="L76" i="22"/>
  <c r="L68" i="22"/>
  <c r="L60" i="22"/>
  <c r="L52" i="22"/>
  <c r="L44" i="22"/>
  <c r="L62" i="22"/>
  <c r="L54" i="22"/>
  <c r="L46" i="22"/>
  <c r="L85" i="22"/>
  <c r="L61" i="22"/>
  <c r="L53" i="22"/>
  <c r="L45" i="22"/>
  <c r="L83" i="22"/>
  <c r="L75" i="22"/>
  <c r="L67" i="22"/>
  <c r="L59" i="22"/>
  <c r="L51" i="22"/>
  <c r="L82" i="22"/>
  <c r="L66" i="22"/>
  <c r="L81" i="22"/>
  <c r="L73" i="22"/>
  <c r="L65" i="22"/>
  <c r="L57" i="22"/>
  <c r="L49" i="22"/>
  <c r="L80" i="22"/>
  <c r="L72" i="22"/>
  <c r="L64" i="22"/>
  <c r="L56" i="22"/>
  <c r="L48" i="22"/>
  <c r="I135" i="22"/>
  <c r="K135" i="22"/>
  <c r="J135" i="22"/>
  <c r="K129" i="22"/>
  <c r="J129" i="22"/>
  <c r="I128" i="22"/>
  <c r="I126" i="22"/>
  <c r="J126" i="22"/>
  <c r="J128" i="22"/>
  <c r="K127" i="22"/>
  <c r="J127" i="22"/>
  <c r="I118" i="22"/>
  <c r="J118" i="22"/>
  <c r="K118" i="22"/>
  <c r="J117" i="22"/>
  <c r="K117" i="22"/>
  <c r="I117" i="22"/>
  <c r="H98" i="22"/>
  <c r="K98" i="22"/>
  <c r="J98" i="22"/>
  <c r="H93" i="22"/>
  <c r="K97" i="22"/>
  <c r="J97" i="22"/>
  <c r="I97" i="22"/>
  <c r="H95" i="22"/>
  <c r="J96" i="22"/>
  <c r="I96" i="22"/>
  <c r="H96" i="22"/>
  <c r="K95" i="22"/>
  <c r="J95" i="22"/>
  <c r="H94" i="22"/>
  <c r="I94" i="22"/>
  <c r="J94" i="22"/>
  <c r="I93" i="22"/>
  <c r="H99" i="22"/>
  <c r="I99" i="22"/>
  <c r="J99" i="22"/>
  <c r="K43" i="22"/>
  <c r="K88" i="22" s="1"/>
  <c r="I43" i="22"/>
  <c r="I88" i="22" s="1"/>
  <c r="J43" i="22"/>
  <c r="J88" i="22" s="1"/>
  <c r="K18" i="25" l="1"/>
  <c r="I16" i="25"/>
  <c r="L141" i="22"/>
  <c r="H130" i="22"/>
  <c r="I130" i="22"/>
  <c r="I119" i="22"/>
  <c r="K119" i="22"/>
  <c r="J130" i="22"/>
  <c r="K100" i="22"/>
  <c r="K130" i="22"/>
  <c r="J119" i="22"/>
  <c r="H100" i="22"/>
  <c r="I100" i="22"/>
  <c r="I46" i="24"/>
  <c r="L14" i="24"/>
  <c r="K24" i="24"/>
  <c r="K32" i="24"/>
  <c r="H24" i="24"/>
  <c r="I32" i="24"/>
  <c r="L31" i="24"/>
  <c r="H32" i="24"/>
  <c r="J44" i="24"/>
  <c r="J46" i="24" s="1"/>
  <c r="H46" i="24"/>
  <c r="L45" i="24"/>
  <c r="L22" i="24"/>
  <c r="L30" i="24"/>
  <c r="L23" i="24"/>
  <c r="L21" i="24"/>
  <c r="L29" i="24"/>
  <c r="J20" i="24"/>
  <c r="J37" i="24"/>
  <c r="L129" i="22"/>
  <c r="L128" i="22"/>
  <c r="L127" i="22"/>
  <c r="L126" i="22"/>
  <c r="J111" i="22"/>
  <c r="L105" i="22"/>
  <c r="L43" i="22"/>
  <c r="L135" i="22"/>
  <c r="L136" i="22" s="1"/>
  <c r="L118" i="22"/>
  <c r="L97" i="22"/>
  <c r="L117" i="22"/>
  <c r="L98" i="22"/>
  <c r="L95" i="22"/>
  <c r="L96" i="22"/>
  <c r="L94" i="22"/>
  <c r="L99" i="22"/>
  <c r="J93" i="22"/>
  <c r="J100" i="22" s="1"/>
  <c r="J16" i="25" l="1"/>
  <c r="J22" i="25" s="1"/>
  <c r="L130" i="22"/>
  <c r="L44" i="24"/>
  <c r="L46" i="24" s="1"/>
  <c r="L37" i="24"/>
  <c r="L38" i="24" s="1"/>
  <c r="J38" i="24"/>
  <c r="L20" i="24"/>
  <c r="L24" i="24" s="1"/>
  <c r="J24" i="24"/>
  <c r="L32" i="24"/>
  <c r="L111" i="22"/>
  <c r="L112" i="22" s="1"/>
  <c r="L106" i="22"/>
  <c r="L119" i="22"/>
  <c r="L93" i="22"/>
  <c r="L100" i="22" s="1"/>
  <c r="K16" i="25" l="1"/>
  <c r="G37" i="22"/>
  <c r="K37" i="22" s="1"/>
  <c r="G29" i="22"/>
  <c r="K29" i="22" s="1"/>
  <c r="G31" i="22"/>
  <c r="K31" i="22" s="1"/>
  <c r="G30" i="22"/>
  <c r="I30" i="22" s="1"/>
  <c r="G11" i="22"/>
  <c r="G12" i="22"/>
  <c r="G13" i="22"/>
  <c r="G14" i="22"/>
  <c r="G23" i="22"/>
  <c r="I23" i="22" s="1"/>
  <c r="G22" i="22"/>
  <c r="K22" i="22" s="1"/>
  <c r="G21" i="22"/>
  <c r="K21" i="22" s="1"/>
  <c r="G20" i="22"/>
  <c r="K20" i="22" s="1"/>
  <c r="H37" i="22" l="1"/>
  <c r="I37" i="22"/>
  <c r="H30" i="22"/>
  <c r="H31" i="22"/>
  <c r="I31" i="22"/>
  <c r="J31" i="22"/>
  <c r="H29" i="22"/>
  <c r="J30" i="22"/>
  <c r="I29" i="22"/>
  <c r="K30" i="22"/>
  <c r="K32" i="22" s="1"/>
  <c r="K23" i="22"/>
  <c r="K24" i="22" s="1"/>
  <c r="J23" i="22"/>
  <c r="H22" i="22"/>
  <c r="I22" i="22"/>
  <c r="J22" i="22"/>
  <c r="H21" i="22"/>
  <c r="I21" i="22"/>
  <c r="H20" i="22"/>
  <c r="J21" i="22"/>
  <c r="I20" i="22"/>
  <c r="H23" i="22"/>
  <c r="AH14" i="19"/>
  <c r="I24" i="22" l="1"/>
  <c r="H24" i="22"/>
  <c r="I32" i="22"/>
  <c r="H32" i="22"/>
  <c r="L23" i="22"/>
  <c r="J37" i="22"/>
  <c r="L30" i="22"/>
  <c r="L31" i="22"/>
  <c r="J29" i="22"/>
  <c r="J32" i="22" s="1"/>
  <c r="L21" i="22"/>
  <c r="L22" i="22"/>
  <c r="L12" i="22"/>
  <c r="L13" i="22"/>
  <c r="L14" i="22"/>
  <c r="J20" i="22"/>
  <c r="J24" i="22" s="1"/>
  <c r="L37" i="22" l="1"/>
  <c r="L38" i="22" s="1"/>
  <c r="L29" i="22"/>
  <c r="L32" i="22" s="1"/>
  <c r="L11" i="22"/>
  <c r="L15" i="22" s="1"/>
  <c r="L20" i="22"/>
  <c r="L24" i="22" s="1"/>
  <c r="AH17" i="19" l="1"/>
  <c r="AW17" i="19" s="1"/>
  <c r="BL17" i="19" s="1"/>
  <c r="Q23" i="21"/>
  <c r="AF23" i="21"/>
  <c r="AU23" i="21"/>
  <c r="BJ23" i="21"/>
  <c r="Q18" i="19"/>
  <c r="AF18" i="19" s="1"/>
  <c r="AU18" i="19" s="1"/>
  <c r="BJ18" i="19" s="1"/>
  <c r="AH19" i="19"/>
  <c r="AW19" i="19" s="1"/>
  <c r="BL19" i="19" s="1"/>
  <c r="Q19" i="19"/>
  <c r="BJ20" i="19"/>
  <c r="BM20" i="19" s="1"/>
  <c r="AH20" i="19"/>
  <c r="AW20" i="19" s="1"/>
  <c r="BL20" i="19" s="1"/>
  <c r="Q16" i="19"/>
  <c r="AF16" i="19" s="1"/>
  <c r="AU16" i="19" s="1"/>
  <c r="BJ16" i="19" s="1"/>
  <c r="AH18" i="19"/>
  <c r="AW18" i="19" s="1"/>
  <c r="BL18" i="19" s="1"/>
  <c r="Q17" i="19"/>
  <c r="AF17" i="19" s="1"/>
  <c r="AU17" i="19" s="1"/>
  <c r="BJ17" i="19" s="1"/>
  <c r="Q14" i="19"/>
  <c r="AF14" i="19" s="1"/>
  <c r="AU14" i="19" s="1"/>
  <c r="BJ14" i="19" s="1"/>
  <c r="AW14" i="19"/>
  <c r="BL14" i="19" s="1"/>
  <c r="AH15" i="19"/>
  <c r="AW15" i="19" s="1"/>
  <c r="BL15" i="19" s="1"/>
  <c r="AH16" i="19"/>
  <c r="AW16" i="19" s="1"/>
  <c r="BL16" i="19" s="1"/>
  <c r="BJ15" i="19"/>
  <c r="AU15" i="19"/>
  <c r="AF15" i="19"/>
  <c r="Q15" i="19"/>
  <c r="BJ22" i="21"/>
  <c r="AU22" i="21"/>
  <c r="AF22" i="21"/>
  <c r="Q22" i="21"/>
  <c r="BJ21" i="21"/>
  <c r="AU21" i="21"/>
  <c r="AF21" i="21"/>
  <c r="Q21" i="21"/>
  <c r="BJ20" i="21"/>
  <c r="AU20" i="21"/>
  <c r="AF20" i="21"/>
  <c r="Q20" i="21"/>
  <c r="BJ19" i="21"/>
  <c r="AU19" i="21"/>
  <c r="AF19" i="21"/>
  <c r="Q19" i="21"/>
  <c r="BJ18" i="21"/>
  <c r="AU18" i="21"/>
  <c r="AF18" i="21"/>
  <c r="Q18" i="21"/>
  <c r="BM18" i="21" s="1"/>
  <c r="BJ17" i="21"/>
  <c r="AU17" i="21"/>
  <c r="AF17" i="21"/>
  <c r="Q17" i="21"/>
  <c r="BJ16" i="21"/>
  <c r="AU16" i="21"/>
  <c r="AF16" i="21"/>
  <c r="Q16" i="21"/>
  <c r="BJ15" i="21"/>
  <c r="AU15" i="21"/>
  <c r="AF15" i="21"/>
  <c r="Q15" i="21"/>
  <c r="BJ14" i="21"/>
  <c r="AU14" i="21"/>
  <c r="AF14" i="21"/>
  <c r="Q14" i="21"/>
  <c r="A14" i="21"/>
  <c r="A15" i="21" s="1"/>
  <c r="A16" i="21" s="1"/>
  <c r="A17" i="21" s="1"/>
  <c r="A18" i="21" s="1"/>
  <c r="A19" i="21" s="1"/>
  <c r="A20" i="21" s="1"/>
  <c r="A21" i="21" s="1"/>
  <c r="A22" i="21" s="1"/>
  <c r="A23" i="21" s="1"/>
  <c r="BJ13" i="21"/>
  <c r="AU13" i="21"/>
  <c r="AF13" i="21"/>
  <c r="Q13" i="21"/>
  <c r="BJ16" i="20"/>
  <c r="BJ15" i="20"/>
  <c r="AU16" i="20"/>
  <c r="AU15" i="20"/>
  <c r="AF16" i="20"/>
  <c r="AF15" i="20"/>
  <c r="Q15" i="20"/>
  <c r="BR14" i="20"/>
  <c r="A16" i="20"/>
  <c r="A15" i="19"/>
  <c r="A16" i="19" s="1"/>
  <c r="BM16" i="20" l="1"/>
  <c r="BM23" i="21"/>
  <c r="BM20" i="21"/>
  <c r="BM16" i="21"/>
  <c r="BM14" i="21"/>
  <c r="BM21" i="21"/>
  <c r="BM17" i="21"/>
  <c r="AU24" i="21"/>
  <c r="BJ24" i="21"/>
  <c r="BM15" i="21"/>
  <c r="BM19" i="21"/>
  <c r="AF24" i="21"/>
  <c r="Q24" i="21"/>
  <c r="BM22" i="21"/>
  <c r="AF19" i="19"/>
  <c r="AU19" i="19" s="1"/>
  <c r="BJ19" i="19" s="1"/>
  <c r="A17" i="19"/>
  <c r="A18" i="19" s="1"/>
  <c r="A19" i="19" s="1"/>
  <c r="A20" i="19" s="1"/>
  <c r="BM13" i="21"/>
  <c r="BM16" i="19"/>
  <c r="AF17" i="20"/>
  <c r="Q17" i="20"/>
  <c r="AU17" i="20"/>
  <c r="BJ17" i="20"/>
  <c r="BM15" i="20"/>
  <c r="Q21" i="19"/>
  <c r="BM18" i="19"/>
  <c r="BM15" i="19"/>
  <c r="BM14" i="19"/>
  <c r="BM17" i="19"/>
  <c r="BJ21" i="19"/>
  <c r="AU21" i="19" l="1"/>
  <c r="AF21" i="19"/>
  <c r="BM25" i="21"/>
  <c r="BM29" i="21" s="1"/>
  <c r="BM19" i="19"/>
  <c r="BM22" i="19" s="1"/>
  <c r="BM18" i="20"/>
  <c r="BR15" i="20" s="1"/>
  <c r="E15" i="16" l="1"/>
  <c r="F27" i="16"/>
  <c r="F28" i="16"/>
  <c r="F29" i="16" s="1"/>
  <c r="J26" i="16"/>
  <c r="J3" i="16"/>
  <c r="J4" i="16"/>
  <c r="J5" i="16"/>
  <c r="K5" i="16"/>
  <c r="J6" i="16"/>
  <c r="J7" i="16"/>
  <c r="K7" i="16"/>
  <c r="J8" i="16"/>
  <c r="J9" i="16"/>
  <c r="G26" i="16"/>
  <c r="K26" i="16" s="1"/>
  <c r="G25" i="16"/>
  <c r="K25" i="16" s="1"/>
  <c r="J25" i="16"/>
  <c r="G24" i="16"/>
  <c r="K24" i="16" s="1"/>
  <c r="J24" i="16"/>
  <c r="G23" i="16"/>
  <c r="K23" i="16" s="1"/>
  <c r="J23" i="16"/>
  <c r="G22" i="16"/>
  <c r="J22" i="16"/>
  <c r="G21" i="16"/>
  <c r="K21" i="16" s="1"/>
  <c r="J21" i="16"/>
  <c r="G20" i="16"/>
  <c r="K20" i="16" s="1"/>
  <c r="J20" i="16"/>
  <c r="G19" i="16"/>
  <c r="K19" i="16" s="1"/>
  <c r="J19" i="16"/>
  <c r="G18" i="16"/>
  <c r="K18" i="16" s="1"/>
  <c r="J15" i="16"/>
  <c r="K15" i="16"/>
  <c r="J16" i="16"/>
  <c r="K16" i="16"/>
  <c r="J14" i="16"/>
  <c r="J12" i="16"/>
  <c r="G15" i="16"/>
  <c r="G16" i="16"/>
  <c r="G14" i="16"/>
  <c r="K14" i="16" s="1"/>
  <c r="J11" i="16"/>
  <c r="G12" i="16"/>
  <c r="K12" i="16" s="1"/>
  <c r="G5" i="16"/>
  <c r="G4" i="16"/>
  <c r="K4" i="16" s="1"/>
  <c r="G3" i="16"/>
  <c r="K3" i="16" s="1"/>
  <c r="G7" i="16"/>
  <c r="G6" i="16"/>
  <c r="K6" i="16" s="1"/>
  <c r="G8" i="16"/>
  <c r="K8" i="16" s="1"/>
  <c r="G9" i="16"/>
  <c r="K9" i="16" s="1"/>
  <c r="I28" i="16"/>
  <c r="D28" i="16"/>
  <c r="C28" i="16"/>
  <c r="B28" i="16"/>
  <c r="E18" i="16"/>
  <c r="E19" i="16"/>
  <c r="E20" i="16"/>
  <c r="E21" i="16"/>
  <c r="E22" i="16"/>
  <c r="E23" i="16"/>
  <c r="E24" i="16"/>
  <c r="E25" i="16"/>
  <c r="E26" i="16"/>
  <c r="E16" i="16"/>
  <c r="E14" i="16"/>
  <c r="E12" i="16"/>
  <c r="E11" i="16"/>
  <c r="E4" i="16"/>
  <c r="E5" i="16"/>
  <c r="E6" i="16"/>
  <c r="E7" i="16"/>
  <c r="E8" i="16"/>
  <c r="E9" i="16"/>
  <c r="E3" i="16"/>
  <c r="E28" i="16" s="1"/>
  <c r="H28" i="16"/>
  <c r="J28" i="16" l="1"/>
  <c r="K22" i="16"/>
  <c r="J18" i="16"/>
  <c r="G11" i="16"/>
  <c r="K11" i="16" s="1"/>
  <c r="G28" i="16" l="1"/>
  <c r="K28" i="16" s="1"/>
  <c r="G29" i="16" l="1"/>
  <c r="L14" i="5" l="1"/>
  <c r="H20" i="5" l="1"/>
  <c r="I20" i="3"/>
  <c r="H13" i="5"/>
  <c r="L13" i="5" s="1"/>
  <c r="M13" i="5" s="1"/>
  <c r="F58" i="5"/>
  <c r="E58" i="5"/>
  <c r="F57" i="5"/>
  <c r="E57" i="5"/>
  <c r="F56" i="5"/>
  <c r="E56" i="5"/>
  <c r="F55" i="5"/>
  <c r="E55" i="5"/>
  <c r="J47" i="5"/>
  <c r="I47" i="5"/>
  <c r="G47" i="5"/>
  <c r="F47" i="5"/>
  <c r="E47" i="5"/>
  <c r="K46" i="5"/>
  <c r="H46" i="5"/>
  <c r="L46" i="5" s="1"/>
  <c r="K45" i="5"/>
  <c r="H45" i="5"/>
  <c r="L45" i="5" s="1"/>
  <c r="K44" i="5"/>
  <c r="H44" i="5"/>
  <c r="L44" i="5" s="1"/>
  <c r="K43" i="5"/>
  <c r="H43" i="5"/>
  <c r="L43" i="5" s="1"/>
  <c r="X42" i="5"/>
  <c r="X41" i="5"/>
  <c r="X40" i="5"/>
  <c r="X39" i="5"/>
  <c r="X38" i="5"/>
  <c r="X37" i="5"/>
  <c r="X36" i="5"/>
  <c r="X35" i="5"/>
  <c r="X34" i="5"/>
  <c r="S30" i="5"/>
  <c r="E23" i="5"/>
  <c r="L22" i="5"/>
  <c r="N22" i="5" s="1"/>
  <c r="O22" i="5" s="1"/>
  <c r="F22" i="5"/>
  <c r="L21" i="5"/>
  <c r="N21" i="5" s="1"/>
  <c r="O21" i="5" s="1"/>
  <c r="F21" i="5"/>
  <c r="G20" i="5"/>
  <c r="F20" i="5"/>
  <c r="L19" i="5"/>
  <c r="N19" i="5" s="1"/>
  <c r="F19" i="5"/>
  <c r="L18" i="5"/>
  <c r="N18" i="5" s="1"/>
  <c r="O18" i="5" s="1"/>
  <c r="F18" i="5"/>
  <c r="L17" i="5"/>
  <c r="N17" i="5" s="1"/>
  <c r="F17" i="5"/>
  <c r="L16" i="5"/>
  <c r="N16" i="5" s="1"/>
  <c r="F16" i="5"/>
  <c r="L15" i="5"/>
  <c r="N15" i="5" s="1"/>
  <c r="O15" i="5" s="1"/>
  <c r="F15" i="5"/>
  <c r="S14" i="5"/>
  <c r="M14" i="5"/>
  <c r="F14" i="5"/>
  <c r="E12" i="5"/>
  <c r="G48" i="5" l="1"/>
  <c r="I55" i="5" s="1"/>
  <c r="L20" i="5"/>
  <c r="M20" i="5" s="1"/>
  <c r="O19" i="5"/>
  <c r="O16" i="5"/>
  <c r="U29" i="5"/>
  <c r="U22" i="5"/>
  <c r="U23" i="5"/>
  <c r="U21" i="5"/>
  <c r="O17" i="5"/>
  <c r="N20" i="5"/>
  <c r="O20" i="5" s="1"/>
  <c r="P20" i="5" s="1"/>
  <c r="M19" i="5"/>
  <c r="P19" i="5" s="1"/>
  <c r="M16" i="5"/>
  <c r="P16" i="5" s="1"/>
  <c r="M15" i="5"/>
  <c r="P15" i="5" s="1"/>
  <c r="N14" i="5"/>
  <c r="M17" i="5"/>
  <c r="M22" i="5"/>
  <c r="P22" i="5" s="1"/>
  <c r="L24" i="5"/>
  <c r="U26" i="5"/>
  <c r="H47" i="5"/>
  <c r="H48" i="5" s="1"/>
  <c r="J55" i="5" s="1"/>
  <c r="M18" i="5"/>
  <c r="P18" i="5" s="1"/>
  <c r="N13" i="5"/>
  <c r="O13" i="5" s="1"/>
  <c r="P13" i="5" s="1"/>
  <c r="M21" i="5"/>
  <c r="P21" i="5" s="1"/>
  <c r="U27" i="5"/>
  <c r="U24" i="5"/>
  <c r="U28" i="5"/>
  <c r="U25" i="5"/>
  <c r="P17" i="5" l="1"/>
  <c r="M24" i="5"/>
  <c r="N24" i="5"/>
  <c r="L25" i="5" s="1"/>
  <c r="O14" i="5"/>
  <c r="O24" i="5" s="1"/>
  <c r="P14" i="5" l="1"/>
  <c r="P23" i="5" l="1"/>
  <c r="P24" i="5" s="1"/>
  <c r="J23" i="4" l="1"/>
  <c r="I23" i="4"/>
  <c r="M22" i="4"/>
  <c r="O22" i="4" s="1"/>
  <c r="M21" i="4"/>
  <c r="O21" i="4" s="1"/>
  <c r="J20" i="4"/>
  <c r="H20" i="4"/>
  <c r="H23" i="4" s="1"/>
  <c r="M19" i="4"/>
  <c r="O19" i="4" s="1"/>
  <c r="M18" i="4"/>
  <c r="O18" i="4" s="1"/>
  <c r="M17" i="4"/>
  <c r="N17" i="4" s="1"/>
  <c r="M16" i="4"/>
  <c r="O16" i="4" s="1"/>
  <c r="M15" i="4"/>
  <c r="M14" i="4"/>
  <c r="U13" i="4"/>
  <c r="T13" i="4"/>
  <c r="M13" i="4"/>
  <c r="F12" i="4"/>
  <c r="I23" i="3"/>
  <c r="M22" i="3"/>
  <c r="O22" i="3" s="1"/>
  <c r="M21" i="3"/>
  <c r="O21" i="3" s="1"/>
  <c r="J20" i="3"/>
  <c r="J23" i="3" s="1"/>
  <c r="H20" i="3"/>
  <c r="H23" i="3" s="1"/>
  <c r="M19" i="3"/>
  <c r="O19" i="3" s="1"/>
  <c r="M18" i="3"/>
  <c r="O18" i="3" s="1"/>
  <c r="M17" i="3"/>
  <c r="O17" i="3" s="1"/>
  <c r="M16" i="3"/>
  <c r="O16" i="3" s="1"/>
  <c r="P16" i="3" s="1"/>
  <c r="M15" i="3"/>
  <c r="M14" i="3"/>
  <c r="O14" i="3" s="1"/>
  <c r="U13" i="3"/>
  <c r="T13" i="3"/>
  <c r="M13" i="3"/>
  <c r="O13" i="3" s="1"/>
  <c r="F12" i="3"/>
  <c r="N21" i="3" s="1"/>
  <c r="P19" i="3" l="1"/>
  <c r="P18" i="3"/>
  <c r="Q18" i="3" s="1"/>
  <c r="P21" i="3"/>
  <c r="N15" i="3"/>
  <c r="N13" i="4"/>
  <c r="O15" i="3"/>
  <c r="P15" i="3" s="1"/>
  <c r="Q15" i="3" s="1"/>
  <c r="N14" i="4"/>
  <c r="P22" i="3"/>
  <c r="N15" i="4"/>
  <c r="M20" i="4"/>
  <c r="N20" i="4" s="1"/>
  <c r="P19" i="4"/>
  <c r="P17" i="3"/>
  <c r="O15" i="4"/>
  <c r="P15" i="4" s="1"/>
  <c r="P21" i="4"/>
  <c r="P18" i="4"/>
  <c r="Q18" i="4" s="1"/>
  <c r="P14" i="3"/>
  <c r="P16" i="4"/>
  <c r="P22" i="4"/>
  <c r="O17" i="4"/>
  <c r="P17" i="4" s="1"/>
  <c r="Q17" i="4" s="1"/>
  <c r="N19" i="4"/>
  <c r="O14" i="4"/>
  <c r="P14" i="4" s="1"/>
  <c r="N22" i="4"/>
  <c r="Q22" i="4" s="1"/>
  <c r="O13" i="4"/>
  <c r="N16" i="4"/>
  <c r="N21" i="4"/>
  <c r="P13" i="3"/>
  <c r="Q21" i="3"/>
  <c r="N14" i="3"/>
  <c r="N19" i="3"/>
  <c r="Q19" i="3" s="1"/>
  <c r="N13" i="3"/>
  <c r="N22" i="3"/>
  <c r="N16" i="3"/>
  <c r="Q16" i="3" s="1"/>
  <c r="M20" i="3"/>
  <c r="N17" i="3"/>
  <c r="Q14" i="4" l="1"/>
  <c r="Q14" i="3"/>
  <c r="Q21" i="4"/>
  <c r="Q15" i="4"/>
  <c r="Q17" i="3"/>
  <c r="M23" i="4"/>
  <c r="Q19" i="4"/>
  <c r="O20" i="4"/>
  <c r="P20" i="4" s="1"/>
  <c r="Q20" i="4" s="1"/>
  <c r="Q22" i="3"/>
  <c r="Q16" i="4"/>
  <c r="N23" i="4"/>
  <c r="P13" i="4"/>
  <c r="Q13" i="3"/>
  <c r="O20" i="3"/>
  <c r="N20" i="3"/>
  <c r="N23" i="3" s="1"/>
  <c r="M23" i="3"/>
  <c r="G19" i="2"/>
  <c r="G22" i="2" s="1"/>
  <c r="I19" i="2"/>
  <c r="I12" i="2"/>
  <c r="J22" i="2"/>
  <c r="H22" i="2"/>
  <c r="L21" i="2"/>
  <c r="L20" i="2"/>
  <c r="N20" i="2" s="1"/>
  <c r="L18" i="2"/>
  <c r="N18" i="2" s="1"/>
  <c r="L17" i="2"/>
  <c r="N17" i="2" s="1"/>
  <c r="L16" i="2"/>
  <c r="N16" i="2" s="1"/>
  <c r="L15" i="2"/>
  <c r="N15" i="2" s="1"/>
  <c r="L14" i="2"/>
  <c r="N14" i="2" s="1"/>
  <c r="L13" i="2"/>
  <c r="E11" i="2"/>
  <c r="O23" i="4" l="1"/>
  <c r="M24" i="4" s="1"/>
  <c r="I22" i="2"/>
  <c r="Q13" i="4"/>
  <c r="Q23" i="4" s="1"/>
  <c r="P23" i="4"/>
  <c r="P20" i="3"/>
  <c r="O23" i="3"/>
  <c r="M24" i="3" s="1"/>
  <c r="M21" i="2"/>
  <c r="L19" i="2"/>
  <c r="N19" i="2" s="1"/>
  <c r="O19" i="2" s="1"/>
  <c r="O17" i="2"/>
  <c r="P17" i="2" s="1"/>
  <c r="O16" i="2"/>
  <c r="L12" i="2"/>
  <c r="O15" i="2"/>
  <c r="M13" i="2"/>
  <c r="O20" i="2"/>
  <c r="O18" i="2"/>
  <c r="O14" i="2"/>
  <c r="M18" i="2"/>
  <c r="N13" i="2"/>
  <c r="O13" i="2" s="1"/>
  <c r="N21" i="2"/>
  <c r="O21" i="2" s="1"/>
  <c r="M16" i="2"/>
  <c r="M14" i="2"/>
  <c r="M15" i="2"/>
  <c r="M20" i="2"/>
  <c r="P20" i="2" s="1"/>
  <c r="P21" i="2" l="1"/>
  <c r="P13" i="2"/>
  <c r="Q20" i="3"/>
  <c r="Q23" i="3" s="1"/>
  <c r="P23" i="3"/>
  <c r="M19" i="2"/>
  <c r="P19" i="2" s="1"/>
  <c r="P16" i="2"/>
  <c r="P18" i="2"/>
  <c r="M12" i="2"/>
  <c r="M22" i="2" s="1"/>
  <c r="L22" i="2"/>
  <c r="P15" i="2"/>
  <c r="N12" i="2"/>
  <c r="N22" i="2" s="1"/>
  <c r="P14" i="2"/>
  <c r="K23" i="2" l="1"/>
  <c r="O12" i="2"/>
  <c r="P12" i="2" l="1"/>
  <c r="P22" i="2" s="1"/>
  <c r="O22" i="2"/>
  <c r="L88" i="22" l="1"/>
  <c r="G22" i="25"/>
  <c r="I21" i="25"/>
  <c r="H22" i="25"/>
  <c r="I22" i="25" l="1"/>
  <c r="K21" i="25"/>
</calcChain>
</file>

<file path=xl/sharedStrings.xml><?xml version="1.0" encoding="utf-8"?>
<sst xmlns="http://schemas.openxmlformats.org/spreadsheetml/2006/main" count="1265" uniqueCount="300">
  <si>
    <t>ORSAMENTO ANUAL 2024</t>
  </si>
  <si>
    <t>Kategori Osan</t>
  </si>
  <si>
    <t>Subrubica</t>
  </si>
  <si>
    <t>Justifikasaun</t>
  </si>
  <si>
    <t>Custo Annual</t>
  </si>
  <si>
    <t>Viroment</t>
  </si>
  <si>
    <t>uza</t>
  </si>
  <si>
    <t>Total</t>
  </si>
  <si>
    <t>OBS</t>
  </si>
  <si>
    <t>QI</t>
  </si>
  <si>
    <t>QII</t>
  </si>
  <si>
    <t>QIII</t>
  </si>
  <si>
    <t>QIV</t>
  </si>
  <si>
    <t>502: Bens e Serviços Correntes</t>
  </si>
  <si>
    <t>50101: Salario</t>
  </si>
  <si>
    <t>Salario</t>
  </si>
  <si>
    <t>5020404: Outros Bens Públicos</t>
  </si>
  <si>
    <t>Utilitis</t>
  </si>
  <si>
    <t>5020801: Material Agrícola</t>
  </si>
  <si>
    <t>Toner</t>
  </si>
  <si>
    <t>5020901: Material de Escrítorio</t>
  </si>
  <si>
    <t>AKT</t>
  </si>
  <si>
    <t>5021002: Combustível para Veículos</t>
  </si>
  <si>
    <t>Kombustivel</t>
  </si>
  <si>
    <t>5021701: Manutenção de veículos</t>
  </si>
  <si>
    <t>Manutensao Kareta</t>
  </si>
  <si>
    <t>5022001: Transportes Nacionais</t>
  </si>
  <si>
    <t>Viagem</t>
  </si>
  <si>
    <t>5022201: Assisténcia Técnica</t>
  </si>
  <si>
    <t>Salario Kazuais</t>
  </si>
  <si>
    <t>5022502: Formação e Palestras</t>
  </si>
  <si>
    <t>Palestra</t>
  </si>
  <si>
    <t>5022601: Representação</t>
  </si>
  <si>
    <t>Representasun</t>
  </si>
  <si>
    <t>TOTAL</t>
  </si>
  <si>
    <t xml:space="preserve">  </t>
  </si>
  <si>
    <t>Ainaro,….../...../2024</t>
  </si>
  <si>
    <t>Cek Husi</t>
  </si>
  <si>
    <t>Prepara Husi</t>
  </si>
  <si>
    <r>
      <t>(</t>
    </r>
    <r>
      <rPr>
        <b/>
        <u/>
        <sz val="12"/>
        <color theme="1"/>
        <rFont val="Calibri"/>
        <family val="2"/>
        <scheme val="minor"/>
      </rPr>
      <t>Rita da Costa</t>
    </r>
    <r>
      <rPr>
        <b/>
        <sz val="12"/>
        <color theme="1"/>
        <rFont val="Calibri"/>
        <family val="2"/>
        <scheme val="minor"/>
      </rPr>
      <t>)</t>
    </r>
  </si>
  <si>
    <r>
      <t>(F</t>
    </r>
    <r>
      <rPr>
        <b/>
        <u/>
        <sz val="11"/>
        <color theme="1"/>
        <rFont val="Calibri"/>
        <family val="2"/>
        <scheme val="minor"/>
      </rPr>
      <t>eliciano da Concei</t>
    </r>
    <r>
      <rPr>
        <b/>
        <u/>
        <sz val="11"/>
        <color theme="1"/>
        <rFont val="Calibri"/>
        <family val="2"/>
      </rPr>
      <t>ção Verdial, Lic. CSH</t>
    </r>
    <r>
      <rPr>
        <b/>
        <sz val="11"/>
        <color theme="1"/>
        <rFont val="Calibri"/>
        <family val="2"/>
      </rPr>
      <t>)</t>
    </r>
  </si>
  <si>
    <r>
      <t>Offecial Finan</t>
    </r>
    <r>
      <rPr>
        <sz val="11"/>
        <color theme="1"/>
        <rFont val="Calibri"/>
        <family val="2"/>
      </rPr>
      <t>ças</t>
    </r>
  </si>
  <si>
    <t>Director SMASA</t>
  </si>
  <si>
    <t>Perc. Actual (%)</t>
  </si>
  <si>
    <t>Perc. balansu (%)</t>
  </si>
  <si>
    <t>Balansu Orsamento</t>
  </si>
  <si>
    <t>Sal Decimo Terceiro</t>
  </si>
  <si>
    <t xml:space="preserve">Alokasaun Orsamento ba SV </t>
  </si>
  <si>
    <t>Ezekusaun QI</t>
  </si>
  <si>
    <t>BS</t>
  </si>
  <si>
    <t>Alokasaun Orsamento ba BS</t>
  </si>
  <si>
    <t>Ezekusaun SV QI</t>
  </si>
  <si>
    <t>Ezekusaun BS QI</t>
  </si>
  <si>
    <t>Naran Posto</t>
  </si>
  <si>
    <t>Ainaro</t>
  </si>
  <si>
    <t>Hato-Udo</t>
  </si>
  <si>
    <t>Hato-Builico</t>
  </si>
  <si>
    <t>Maubisse</t>
  </si>
  <si>
    <t>Total Uma Kain</t>
  </si>
  <si>
    <t>Total Ema</t>
  </si>
  <si>
    <t>Uma Kain Assesu Ba Be'e (%)</t>
  </si>
  <si>
    <t>Uma Kain Seidauk Assesu Ba Be'e (%)</t>
  </si>
  <si>
    <t xml:space="preserve">Be'e Matan </t>
  </si>
  <si>
    <t>Total Sistema</t>
  </si>
  <si>
    <t xml:space="preserve"> Uma Kain seidauk Assesu Ba Be'e mo''os (%)</t>
  </si>
  <si>
    <t xml:space="preserve"> Uma Kain Assesu Ba Be'e mo''os (%)</t>
  </si>
  <si>
    <t>Percentagen Assesu ba Bemo'os a Nivel Municipiu</t>
  </si>
  <si>
    <t>Municipiu</t>
  </si>
  <si>
    <t>No</t>
  </si>
  <si>
    <t>Director</t>
  </si>
  <si>
    <t>Mane</t>
  </si>
  <si>
    <t>Feto</t>
  </si>
  <si>
    <t>AINARO</t>
  </si>
  <si>
    <t>MAU ULO</t>
  </si>
  <si>
    <t>MAU NUNO</t>
  </si>
  <si>
    <t>CASSA</t>
  </si>
  <si>
    <t>SURU CRAIK</t>
  </si>
  <si>
    <t>SORO</t>
  </si>
  <si>
    <t>MANUTASI</t>
  </si>
  <si>
    <t>LEOLIMA</t>
  </si>
  <si>
    <t>FOHO AILICO</t>
  </si>
  <si>
    <t>NUNO MOGUE</t>
  </si>
  <si>
    <t>MULO</t>
  </si>
  <si>
    <t>MAUCHIGA</t>
  </si>
  <si>
    <t>AITUTO</t>
  </si>
  <si>
    <t>MAUBISSE</t>
  </si>
  <si>
    <t>HORAI-QUIK</t>
  </si>
  <si>
    <t>LIURAI</t>
  </si>
  <si>
    <t>FATUBESI</t>
  </si>
  <si>
    <t>EDI</t>
  </si>
  <si>
    <t>MAULAU</t>
  </si>
  <si>
    <t>MANELOBAS</t>
  </si>
  <si>
    <t>MANETU</t>
  </si>
  <si>
    <t xml:space="preserve"> </t>
  </si>
  <si>
    <t>Limpeza e Seguransa</t>
  </si>
  <si>
    <t>Programa</t>
  </si>
  <si>
    <t>Actividade</t>
  </si>
  <si>
    <t>Janeiro</t>
  </si>
  <si>
    <t>Fevereiro</t>
  </si>
  <si>
    <t>Marsu</t>
  </si>
  <si>
    <t>I</t>
  </si>
  <si>
    <t>II</t>
  </si>
  <si>
    <t>III</t>
  </si>
  <si>
    <t>IV</t>
  </si>
  <si>
    <t>Total Execusaun</t>
  </si>
  <si>
    <t>Responsavel</t>
  </si>
  <si>
    <t>Obs</t>
  </si>
  <si>
    <t>Total Orsamento</t>
  </si>
  <si>
    <t>Abril</t>
  </si>
  <si>
    <t>Maio</t>
  </si>
  <si>
    <t>Junho</t>
  </si>
  <si>
    <t>Xefe Dept. Planeamento</t>
  </si>
  <si>
    <t>Verifica Husi</t>
  </si>
  <si>
    <t>Director SMASA Ainaro</t>
  </si>
  <si>
    <t>Bens Servisu</t>
  </si>
  <si>
    <t>Julho</t>
  </si>
  <si>
    <t>Agusto</t>
  </si>
  <si>
    <t>Setembro</t>
  </si>
  <si>
    <t>Outubro</t>
  </si>
  <si>
    <t>Novembro</t>
  </si>
  <si>
    <t>Dezembro</t>
  </si>
  <si>
    <t>5020502:Refeições Confecionados</t>
  </si>
  <si>
    <t>5020901: Material Eskritorio (ATK)</t>
  </si>
  <si>
    <t>5021002: Combustivel para Veiculos</t>
  </si>
  <si>
    <t>5021501: Outro Bens Correntes</t>
  </si>
  <si>
    <t>5021601: Limpeza e Seguransa</t>
  </si>
  <si>
    <t>5021801: Fornecimento de Agua</t>
  </si>
  <si>
    <t>Halo pagamento ba Be'e Timor Leste       BTL, EP.</t>
  </si>
  <si>
    <t>5021802: Fornecimento de Eletrisidade</t>
  </si>
  <si>
    <t>Halo pagamento ba Eletricidade de Timor Leste EDTL, EP.</t>
  </si>
  <si>
    <t>5021901: Comunicações Fixas</t>
  </si>
  <si>
    <t>5022502: Servisu Profesionais (Formasaun e Palestra)</t>
  </si>
  <si>
    <t>Ainaro, 21 de Janeiro 2026</t>
  </si>
  <si>
    <t>PLANO EZEKUSAUN ORSAMENTO BENS E SERVISU KADA TRIMESTRE BA TINAN 2026</t>
  </si>
  <si>
    <t>5021005: Outros Combustiveis</t>
  </si>
  <si>
    <t>5022401: Ajudas de Custo por deslocações em serviço no Pais</t>
  </si>
  <si>
    <t>5023103:Aluguer de Veiculos</t>
  </si>
  <si>
    <t>Sisa</t>
  </si>
  <si>
    <t>Despezas</t>
  </si>
  <si>
    <t>Alokasaun</t>
  </si>
  <si>
    <t>Balansu</t>
  </si>
  <si>
    <t>actual</t>
  </si>
  <si>
    <t>5023103: Aluguer de Veiculos</t>
  </si>
  <si>
    <t>PLANO EZEKUSAUN ORSAMENTO ALUGUER BA POSTO AINARO NO POSTO MAUBISSE KADA TRIMESTRE BA TINAN 2026</t>
  </si>
  <si>
    <r>
      <t>(</t>
    </r>
    <r>
      <rPr>
        <b/>
        <u/>
        <sz val="18"/>
        <color theme="1"/>
        <rFont val="Calibri"/>
        <family val="2"/>
        <scheme val="minor"/>
      </rPr>
      <t>Rasino Soares Pinto</t>
    </r>
    <r>
      <rPr>
        <b/>
        <sz val="18"/>
        <color theme="1"/>
        <rFont val="Calibri"/>
        <family val="2"/>
        <scheme val="minor"/>
      </rPr>
      <t>)</t>
    </r>
  </si>
  <si>
    <r>
      <t>(</t>
    </r>
    <r>
      <rPr>
        <b/>
        <u/>
        <sz val="18"/>
        <color theme="1"/>
        <rFont val="Calibri"/>
        <family val="2"/>
        <scheme val="minor"/>
      </rPr>
      <t>Feliciano da Conceicao Verdial</t>
    </r>
    <r>
      <rPr>
        <b/>
        <sz val="18"/>
        <color theme="1"/>
        <rFont val="Calibri"/>
        <family val="2"/>
        <scheme val="minor"/>
      </rPr>
      <t>)</t>
    </r>
  </si>
  <si>
    <t>PLANO EZEKUSAUN ORSAMENTO SALARIO E VENCIMENTO KADA TRIMESTRE BA TINAN 2026</t>
  </si>
  <si>
    <t>Orsamento ida ne'e hodi selu Suplemento Cargo ba Chefe Departamento inklui Suplemento ba Cargo Director</t>
  </si>
  <si>
    <t>501: Salario e Vencimentos</t>
  </si>
  <si>
    <t>5010104:  Salario de Funcionarios e Agentes</t>
  </si>
  <si>
    <t>5010205:  Subsidiu Mensal de Transporte</t>
  </si>
  <si>
    <t>5010212: Abonos Variaveis ou Eventuais</t>
  </si>
  <si>
    <t>5010105: Salario de Contratados Nacionais</t>
  </si>
  <si>
    <t>5010101: Salario de Titulares de Cargos Politicos</t>
  </si>
  <si>
    <t>Montantes ne'e hodi finansia ba limpeza iha edificio  SM-ASA</t>
  </si>
  <si>
    <t>Montantes ne'e hodi finansia ba Fornecemento pulsa ba kargo diresaun no xefia Dirctor nain 1, Xefe departamento nain 3</t>
  </si>
  <si>
    <t>Montante ne hodi finansia ba bebidas hansan kafe, masimidar, Biskuit no Be'e ba actividade encontro semestral iha Diresaun</t>
  </si>
  <si>
    <t>5010103:  Salario de Titulares de Cargos de Direção e Chefia</t>
  </si>
  <si>
    <t>5010110:  Decimo Terceiro Mês</t>
  </si>
  <si>
    <t>Dir</t>
  </si>
  <si>
    <t>Orsamento ida ne'e hodi selu Subsidiu Reprezentasaun 50% ba Cargo Director no  Xefe Departamento nain 3 iha Diresaun SMASA</t>
  </si>
  <si>
    <t>Orsamento ida ne'e Preve hodi Selu Salario ba Funcionario Permanentes sira iha Diresaun SMASA</t>
  </si>
  <si>
    <t>Orsamento ida ne'e hodi selu Salario Decimo Terceiro Mês ba Funcionarios Permanente inklui Kazuais iha Diresaun SMASA</t>
  </si>
  <si>
    <r>
      <t>(</t>
    </r>
    <r>
      <rPr>
        <b/>
        <u/>
        <sz val="18"/>
        <color theme="1"/>
        <rFont val="Arial"/>
        <family val="2"/>
      </rPr>
      <t>Rasino Soares Pinto</t>
    </r>
    <r>
      <rPr>
        <b/>
        <sz val="18"/>
        <color theme="1"/>
        <rFont val="Arial"/>
        <family val="2"/>
      </rPr>
      <t>)</t>
    </r>
  </si>
  <si>
    <r>
      <t>(</t>
    </r>
    <r>
      <rPr>
        <b/>
        <u/>
        <sz val="18"/>
        <color theme="1"/>
        <rFont val="Arial"/>
        <family val="2"/>
      </rPr>
      <t>Feliciano da Conceicao Verdial</t>
    </r>
    <r>
      <rPr>
        <b/>
        <sz val="18"/>
        <color theme="1"/>
        <rFont val="Arial"/>
        <family val="2"/>
      </rPr>
      <t>)</t>
    </r>
  </si>
  <si>
    <t>Ainaro, 27 de Janeiro 2026</t>
  </si>
  <si>
    <t>Orsamento ne'e financia hodi selu dividas nebe halo Limpeza Espacho Publico iha Posto Maubisse Villa</t>
  </si>
  <si>
    <t>Gestão dos jardins e parques nos aglomerados populacionais</t>
  </si>
  <si>
    <t>Orsameno ida ne'e hodi selu Salario Basico ba Funcionarios Permanente iha Diresaun SMASA</t>
  </si>
  <si>
    <t>Orsamento ida ne'e hodi selu Subsidiu Transporte ba Kargo Director  no Xefe Departamento nain 3 inklui Funcionarios  Permanente nain 4  iha Diresaun SMASA</t>
  </si>
  <si>
    <t>Orsamento ida ne'e Preve hodi Selu Salario Kazuais nain 1, no Pessoal Saneamento nain12 inklui Motorista 1 iha Diresaun SM-ASA</t>
  </si>
  <si>
    <t>Construção, conservação e reparação  de sistemas de drenagem de àguas residuais nos aglomerados populacionais,  de balneários públicos e das facilidades de deposição e tratamento final dos residuos sólidos urbanos</t>
  </si>
  <si>
    <t>Montantes ne'e hodi finansia ba  Fornecemento material eskritorior hanesan Surat tahan, lapizeira no Toner nst</t>
  </si>
  <si>
    <t>Proteção das fontes e dos sistemas de abastecimento de água potável</t>
  </si>
  <si>
    <t>Combustivel ba viaturas kareta operasional 1, tenki1  no motor 5 hodi monitorizasaun no halo operasional ba Sistema bemos iha area Rurais teritorio Municipio Ainaro</t>
  </si>
  <si>
    <t>Combustivel ba makina kua du'ut 4, hodi halo limpeza iha espaso Publiko</t>
  </si>
  <si>
    <t xml:space="preserve">Hodi finansia reparasaun Sistema, Proteje Bematan inklui ba actividade operasional Sistema Bemo'os Urbana mak hanesan Manutensaun ba hadia Valvula Soe Anin, Washout ka Be'e Foer inklui tratamento Slow Sand Filter ka Tratamento Bemo'os iha WTP </t>
  </si>
  <si>
    <t>Construção, convservação e reparação de sistemas de abastecimento de água potável</t>
  </si>
  <si>
    <t>Limpeza dos epaços públicos, incluindo as praias e zonas balneares</t>
  </si>
  <si>
    <t xml:space="preserve"> Construção, conservação e reparação de jardins e parques existentes nos aglomerados populacionais</t>
  </si>
  <si>
    <t>Halo pagamento ba Be'e Timor Leste       BTL, EP kada fulan $ 10.00</t>
  </si>
  <si>
    <t>Gestão e tratamento dos residuos sólidos urbanos</t>
  </si>
  <si>
    <t>onstrução, convservação e reparação de sistemas de abastecimento de água potável</t>
  </si>
  <si>
    <t xml:space="preserve">Hodi finansia ba deslokasaun (Viagem Lokais)  husi Municipio ba Nacional ou husi Muncipio ba Postu Administrativo ou Suku hodi halo monitorizasaun ba projeto bemo'os no reparasaun  ba sistema bemo'os (vigor 20%) </t>
  </si>
  <si>
    <t>Plantio de novas arvores e arbustos nos aglomerados populacionais</t>
  </si>
  <si>
    <t>Montantes ne'e hodi finansia ba formasaun e palestra sobre Forma Grupo GMF no Formasaun teknika ba Grupo Sira nebe hari'I iha kada Sistema iha Suco 22</t>
  </si>
  <si>
    <t>Orsamento ne'e financia hodi Contrato truck 1 hodi halo Limpeza Espacho Publico iha Capital Municipio Ainaro</t>
  </si>
  <si>
    <t>Orsamento ne'e financia hodi Contrato truck 1 hodi halo Limpeza Espacho Publico iha Posto Maubisse Villa</t>
  </si>
  <si>
    <t>Nu</t>
  </si>
  <si>
    <t>Deskrisaun</t>
  </si>
  <si>
    <t>QTY</t>
  </si>
  <si>
    <t>Presu Unidade</t>
  </si>
  <si>
    <t>Total Presu</t>
  </si>
  <si>
    <t>Q1</t>
  </si>
  <si>
    <t>Q2</t>
  </si>
  <si>
    <t>Q3</t>
  </si>
  <si>
    <t>Q4</t>
  </si>
  <si>
    <t>Alokasaun kada Quarter</t>
  </si>
  <si>
    <t>Kafe</t>
  </si>
  <si>
    <t>Masimidar</t>
  </si>
  <si>
    <t>Beskuit</t>
  </si>
  <si>
    <t>Agua</t>
  </si>
  <si>
    <t>MATERIAL ESKRITORIO</t>
  </si>
  <si>
    <t>HVS</t>
  </si>
  <si>
    <t>Lapijeira Pilot G-2</t>
  </si>
  <si>
    <t xml:space="preserve">Toner </t>
  </si>
  <si>
    <t>Espidol</t>
  </si>
  <si>
    <t>Combustivel para Veiculos</t>
  </si>
  <si>
    <t>Kareta Operasional</t>
  </si>
  <si>
    <t>Kareta Tenki</t>
  </si>
  <si>
    <t>Motor</t>
  </si>
  <si>
    <t>Outros Combustivel</t>
  </si>
  <si>
    <t>Makina kua Du'ut</t>
  </si>
  <si>
    <t>Galv. Union 2 1/2''</t>
  </si>
  <si>
    <t>Galv. Hex nipple 1''</t>
  </si>
  <si>
    <t>Galv. Hex nipple 1 1/2''</t>
  </si>
  <si>
    <t>Galv. Hex nipple 2''</t>
  </si>
  <si>
    <t>Galv. Union  3/4''</t>
  </si>
  <si>
    <t>Galv. Socket reducing</t>
  </si>
  <si>
    <t>Galv. Socket 1''</t>
  </si>
  <si>
    <t>Galv. Elbow 3/4''</t>
  </si>
  <si>
    <t>Galv. elbow 1''</t>
  </si>
  <si>
    <t>Galv. Tee Reducing 1'' x 3/4'' x 1''</t>
  </si>
  <si>
    <t>Galv. Socket reducing 1 1/2'' x 1''</t>
  </si>
  <si>
    <t>Galv. Socket 3/4''</t>
  </si>
  <si>
    <t>Galv. Union 3/4''</t>
  </si>
  <si>
    <t>Galv. Union 1''</t>
  </si>
  <si>
    <t>Galv. Elbow 1''</t>
  </si>
  <si>
    <t>Galv. Hex nipple 3/4''</t>
  </si>
  <si>
    <t>Besi Pipa Spindo 1 1/4''</t>
  </si>
  <si>
    <t>Besi Pipa Spindo 1 ''</t>
  </si>
  <si>
    <t>Besi Pipa Spindo 3/4 ''</t>
  </si>
  <si>
    <t>PE Pipa 1 1/4 '' (40mm)</t>
  </si>
  <si>
    <t>PE Pipa 1 1/2 '' (50mm)</t>
  </si>
  <si>
    <t>Stop Kran Besi 3/4''</t>
  </si>
  <si>
    <t>Besi Water Mur 2''</t>
  </si>
  <si>
    <t>Besi Socket 2''</t>
  </si>
  <si>
    <t>Besi Elbow 1 1/4''</t>
  </si>
  <si>
    <t>Besi Socket 1 1/4''</t>
  </si>
  <si>
    <t>Besi Water Mur 1 1/4''</t>
  </si>
  <si>
    <t>Besi Water Mur 1''</t>
  </si>
  <si>
    <t>PE Socket 1 1/4''</t>
  </si>
  <si>
    <t>Besi Over Socket 1'' x 3/4''</t>
  </si>
  <si>
    <t>PE Over Socket 1 1/2'' x 1 1/4''</t>
  </si>
  <si>
    <t>PE Socket 1 1/2''</t>
  </si>
  <si>
    <t>PE Socket 2''</t>
  </si>
  <si>
    <t>PE Socket 1''</t>
  </si>
  <si>
    <t>PE Over Socket 3/4'' x  1/2''</t>
  </si>
  <si>
    <t>PE Over Socket 1'' x  3/4''</t>
  </si>
  <si>
    <t>PE Socket 3/4''</t>
  </si>
  <si>
    <t>PE Socket drat dalam 3/4''</t>
  </si>
  <si>
    <t>PE Tee 3/4''</t>
  </si>
  <si>
    <t>PE Over Tee 3/4'' x 1/2''</t>
  </si>
  <si>
    <t>PE Over Tee 1'' x 3/4''</t>
  </si>
  <si>
    <t>Unit</t>
  </si>
  <si>
    <t>Pcs</t>
  </si>
  <si>
    <t>btg</t>
  </si>
  <si>
    <t>roll</t>
  </si>
  <si>
    <t>Aisar</t>
  </si>
  <si>
    <t>Klin Rai</t>
  </si>
  <si>
    <t>Aisar kesak</t>
  </si>
  <si>
    <t>Protex</t>
  </si>
  <si>
    <t>Rinso</t>
  </si>
  <si>
    <t>baifres</t>
  </si>
  <si>
    <t>Handshop</t>
  </si>
  <si>
    <t>Xefe Departamento</t>
  </si>
  <si>
    <t>Pulsa Komunikasaun</t>
  </si>
  <si>
    <t>Staff</t>
  </si>
  <si>
    <t>Person</t>
  </si>
  <si>
    <t xml:space="preserve">Viagem Nasinal/Lokal </t>
  </si>
  <si>
    <t>Formasaun/Palestra</t>
  </si>
  <si>
    <t>Formasaun Tekniku no hari GMF</t>
  </si>
  <si>
    <t>Prepara husi</t>
  </si>
  <si>
    <t>(Rasino Soares Pinto)</t>
  </si>
  <si>
    <t>Ainaro, 28/01/2026</t>
  </si>
  <si>
    <t>Verefica husi</t>
  </si>
  <si>
    <t>(Feliciano da C. Verdial)</t>
  </si>
  <si>
    <r>
      <t>Refei</t>
    </r>
    <r>
      <rPr>
        <b/>
        <sz val="18"/>
        <color theme="1"/>
        <rFont val="Calibri"/>
        <family val="2"/>
      </rPr>
      <t>ções Confecionados</t>
    </r>
  </si>
  <si>
    <t>Outros Bens Correntes</t>
  </si>
  <si>
    <t>Fornesimento Agua</t>
  </si>
  <si>
    <t>Selu tarifa Be'e</t>
  </si>
  <si>
    <t>Fornesimento Eletrisidade</t>
  </si>
  <si>
    <t>Selu tarifa Eletrisidade</t>
  </si>
  <si>
    <t>Kareta Tanki Be'e</t>
  </si>
  <si>
    <t>BENS E SERVICOS BA PROSESU APROVISIONAMENTO</t>
  </si>
  <si>
    <t>Verifica husi</t>
  </si>
  <si>
    <t>BENS E SERVICOS</t>
  </si>
  <si>
    <t>Aluguer Truck ba Limpeza Saneamento iha Ainaro Villa</t>
  </si>
  <si>
    <t>Aluguer Truck ba Limpeza Saneamento iha Maubisse Villa</t>
  </si>
  <si>
    <t>QTY (FULAN 3)</t>
  </si>
  <si>
    <t>PRESU (KADA FULAN)</t>
  </si>
  <si>
    <t>Aluguer Kareta Truck ba Limpeza Saneamento</t>
  </si>
  <si>
    <t>Salario Vensimento</t>
  </si>
  <si>
    <t xml:space="preserve">Orsamento ida ne'e hodi selu Suplemento ba Cargo Director inklui Suplemento Cargo ba Chefe Departamento </t>
  </si>
  <si>
    <t>Trimestre</t>
  </si>
  <si>
    <t>Orsamento ida ne'e Preve hodi Selu Salario kontratado Kazuais no Pessoal Saneamento nain12 inklui Motorista 1 iha Diresaun SM-ASA</t>
  </si>
  <si>
    <t>QTY (Ema)</t>
  </si>
  <si>
    <t>Alokasaun kada Quarter I</t>
  </si>
  <si>
    <t>Outros Bens Correntes (Orsamento Operasional)</t>
  </si>
  <si>
    <r>
      <rPr>
        <sz val="20"/>
        <rFont val="Arial"/>
        <family val="2"/>
      </rPr>
      <t>Hodi finansia reparasaun Sistema, Proteje Bematan inklui ba actividade operasional Sistema Bemo'os Urbana mak hanesan Manutensaun ba hadia Valvula Soe Anin, Washout ka Be'e Foer inklui tratamento Slow Sand Filter ka Tratamento Bemo'os iha WT</t>
    </r>
    <r>
      <rPr>
        <sz val="17"/>
        <rFont val="Arial"/>
        <family val="2"/>
      </rPr>
      <t xml:space="preserve">P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</si>
</sst>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quot;$&quot;* #,##0.00_);_(&quot;$&quot;* \(#,##0.00\);_(&quot;$&quot;* &quot;-&quot;??_);_(@_)"/>
    <numFmt numFmtId="43" formatCode="_(* #,##0.00_);_(* \(#,##0.00\);_(* &quot;-&quot;??_);_(@_)"/>
    <numFmt numFmtId="164" formatCode="&quot;$&quot;#,##0.00"/>
    <numFmt numFmtId="165" formatCode="&quot;$&quot;#,##0"/>
    <numFmt numFmtId="167" formatCode="_([$$-409]* #,##0.00_);_([$$-409]* \(#,##0.00\);_([$$-409]* &quot;-&quot;??_);_(@_)"/>
    <numFmt numFmtId="168" formatCode="_-[$$-409]* #,##0.00_ ;_-[$$-409]* \-#,##0.00\ ;_-[$$-409]* &quot;-&quot;??_ ;_-@_ "/>
    <numFmt numFmtId="169" formatCode="_(&quot;$&quot;* #,##0.0_);_(&quot;$&quot;* \(#,##0.0\);_(&quot;$&quot;* &quot;-&quot;??_);_(@_)"/>
  </numFmts>
  <fonts count="65" x14ac:knownFonts="1">
    <font>
      <sz val="11"/>
      <color theme="1"/>
      <name val="Calibri"/>
      <family val="2"/>
      <scheme val="minor"/>
    </font>
    <font>
      <sz val="11"/>
      <color theme="1"/>
      <name val="Calibri"/>
      <family val="2"/>
      <scheme val="minor"/>
    </font>
    <font>
      <b/>
      <sz val="11"/>
      <color theme="1"/>
      <name val="Calibri"/>
      <family val="2"/>
      <scheme val="minor"/>
    </font>
    <font>
      <sz val="10"/>
      <color theme="1"/>
      <name val="Calibri"/>
      <family val="2"/>
      <scheme val="minor"/>
    </font>
    <font>
      <sz val="10"/>
      <color rgb="FF000000"/>
      <name val="Calibri"/>
      <family val="2"/>
    </font>
    <font>
      <sz val="9"/>
      <color rgb="FF000000"/>
      <name val="Calibri"/>
      <family val="2"/>
    </font>
    <font>
      <sz val="12"/>
      <color theme="1"/>
      <name val="Calibri"/>
      <family val="2"/>
      <scheme val="minor"/>
    </font>
    <font>
      <b/>
      <sz val="12"/>
      <color theme="1"/>
      <name val="Calibri"/>
      <family val="2"/>
      <scheme val="minor"/>
    </font>
    <font>
      <b/>
      <u/>
      <sz val="12"/>
      <color theme="1"/>
      <name val="Calibri"/>
      <family val="2"/>
      <scheme val="minor"/>
    </font>
    <font>
      <b/>
      <u/>
      <sz val="11"/>
      <color theme="1"/>
      <name val="Calibri"/>
      <family val="2"/>
      <scheme val="minor"/>
    </font>
    <font>
      <b/>
      <u/>
      <sz val="11"/>
      <color theme="1"/>
      <name val="Calibri"/>
      <family val="2"/>
    </font>
    <font>
      <b/>
      <sz val="11"/>
      <color theme="1"/>
      <name val="Calibri"/>
      <family val="2"/>
    </font>
    <font>
      <sz val="11"/>
      <color theme="1"/>
      <name val="Calibri"/>
      <family val="2"/>
    </font>
    <font>
      <sz val="11"/>
      <color rgb="FFFF0000"/>
      <name val="Calibri"/>
      <family val="2"/>
      <scheme val="minor"/>
    </font>
    <font>
      <sz val="10"/>
      <color rgb="FFFF0000"/>
      <name val="Calibri"/>
      <family val="2"/>
      <scheme val="minor"/>
    </font>
    <font>
      <sz val="10"/>
      <color rgb="FF00B0F0"/>
      <name val="Calibri"/>
      <family val="2"/>
      <scheme val="minor"/>
    </font>
    <font>
      <sz val="14"/>
      <color theme="1"/>
      <name val="Calibri"/>
      <family val="2"/>
      <scheme val="minor"/>
    </font>
    <font>
      <sz val="16"/>
      <color theme="1"/>
      <name val="Calibri"/>
      <family val="2"/>
      <scheme val="minor"/>
    </font>
    <font>
      <sz val="12"/>
      <color rgb="FF00B0F0"/>
      <name val="Calibri"/>
      <family val="2"/>
      <scheme val="minor"/>
    </font>
    <font>
      <sz val="12"/>
      <color rgb="FFFF0000"/>
      <name val="Calibri"/>
      <family val="2"/>
      <scheme val="minor"/>
    </font>
    <font>
      <sz val="12"/>
      <color rgb="FF00B0F0"/>
      <name val="Calibri"/>
      <family val="2"/>
    </font>
    <font>
      <sz val="12"/>
      <color rgb="FF000000"/>
      <name val="Calibri"/>
      <family val="2"/>
    </font>
    <font>
      <sz val="11"/>
      <color theme="0"/>
      <name val="Calibri"/>
      <family val="2"/>
      <scheme val="minor"/>
    </font>
    <font>
      <sz val="16"/>
      <color rgb="FF000000"/>
      <name val="Calibri"/>
      <family val="2"/>
    </font>
    <font>
      <sz val="10"/>
      <color rgb="FF92D050"/>
      <name val="Calibri"/>
      <family val="2"/>
      <scheme val="minor"/>
    </font>
    <font>
      <sz val="10"/>
      <color theme="0"/>
      <name val="Calibri"/>
      <family val="2"/>
      <scheme val="minor"/>
    </font>
    <font>
      <sz val="11"/>
      <color rgb="FF00B0F0"/>
      <name val="Calibri"/>
      <family val="2"/>
      <scheme val="minor"/>
    </font>
    <font>
      <sz val="8"/>
      <name val="Calibri"/>
      <family val="2"/>
      <scheme val="minor"/>
    </font>
    <font>
      <b/>
      <sz val="24"/>
      <color theme="1"/>
      <name val="Calibri"/>
      <family val="2"/>
      <scheme val="minor"/>
    </font>
    <font>
      <sz val="18"/>
      <color theme="1"/>
      <name val="Calibri"/>
      <family val="2"/>
      <scheme val="minor"/>
    </font>
    <font>
      <b/>
      <sz val="18"/>
      <color theme="1"/>
      <name val="Calibri"/>
      <family val="2"/>
    </font>
    <font>
      <b/>
      <sz val="18"/>
      <color theme="1"/>
      <name val="Calibri"/>
      <family val="2"/>
      <scheme val="minor"/>
    </font>
    <font>
      <b/>
      <u/>
      <sz val="18"/>
      <color theme="1"/>
      <name val="Calibri"/>
      <family val="2"/>
      <scheme val="minor"/>
    </font>
    <font>
      <sz val="20"/>
      <color theme="1"/>
      <name val="Calibri"/>
      <family val="2"/>
      <scheme val="minor"/>
    </font>
    <font>
      <sz val="22"/>
      <color theme="1"/>
      <name val="Calibri"/>
      <family val="2"/>
      <scheme val="minor"/>
    </font>
    <font>
      <sz val="20"/>
      <color rgb="FF00B0F0"/>
      <name val="Calibri"/>
      <family val="2"/>
      <scheme val="minor"/>
    </font>
    <font>
      <sz val="16"/>
      <color theme="1"/>
      <name val="Arial"/>
      <family val="2"/>
    </font>
    <font>
      <sz val="18"/>
      <color theme="1"/>
      <name val="Arial"/>
      <family val="2"/>
    </font>
    <font>
      <b/>
      <sz val="18"/>
      <color theme="1"/>
      <name val="Arial"/>
      <family val="2"/>
    </font>
    <font>
      <sz val="20"/>
      <color theme="1"/>
      <name val="Arial"/>
      <family val="2"/>
    </font>
    <font>
      <sz val="20"/>
      <color rgb="FF000000"/>
      <name val="Arial"/>
      <family val="2"/>
    </font>
    <font>
      <b/>
      <sz val="20"/>
      <color rgb="FF00B050"/>
      <name val="Arial"/>
      <family val="2"/>
    </font>
    <font>
      <b/>
      <sz val="20"/>
      <color theme="1"/>
      <name val="Arial"/>
      <family val="2"/>
    </font>
    <font>
      <b/>
      <sz val="20"/>
      <color rgb="FF00B0F0"/>
      <name val="Arial"/>
      <family val="2"/>
    </font>
    <font>
      <sz val="20"/>
      <color rgb="FF00B0F0"/>
      <name val="Arial"/>
      <family val="2"/>
    </font>
    <font>
      <b/>
      <sz val="20"/>
      <color theme="1"/>
      <name val="Calibri"/>
      <family val="2"/>
      <scheme val="minor"/>
    </font>
    <font>
      <b/>
      <u/>
      <sz val="18"/>
      <color theme="1"/>
      <name val="Arial"/>
      <family val="2"/>
    </font>
    <font>
      <sz val="16"/>
      <color rgb="FF00B0F0"/>
      <name val="Arial"/>
      <family val="2"/>
    </font>
    <font>
      <sz val="17"/>
      <color theme="1"/>
      <name val="Arial"/>
      <family val="2"/>
    </font>
    <font>
      <sz val="17"/>
      <color rgb="FF000000"/>
      <name val="Arial"/>
      <family val="2"/>
    </font>
    <font>
      <sz val="17"/>
      <name val="Arial"/>
      <family val="2"/>
    </font>
    <font>
      <b/>
      <sz val="17"/>
      <color rgb="FF00B050"/>
      <name val="Arial"/>
      <family val="2"/>
    </font>
    <font>
      <b/>
      <sz val="17"/>
      <color theme="1"/>
      <name val="Arial"/>
      <family val="2"/>
    </font>
    <font>
      <sz val="17"/>
      <color theme="1"/>
      <name val="Calibri"/>
      <family val="2"/>
      <scheme val="minor"/>
    </font>
    <font>
      <b/>
      <sz val="17"/>
      <color rgb="FF00B0F0"/>
      <name val="Arial"/>
      <family val="2"/>
    </font>
    <font>
      <sz val="17"/>
      <color rgb="FF00B0F0"/>
      <name val="Arial"/>
      <family val="2"/>
    </font>
    <font>
      <sz val="20"/>
      <color rgb="FF000000"/>
      <name val="Calibri"/>
      <family val="2"/>
    </font>
    <font>
      <b/>
      <sz val="20"/>
      <color rgb="FF00B050"/>
      <name val="Calibri"/>
      <family val="2"/>
    </font>
    <font>
      <b/>
      <sz val="20"/>
      <color theme="1"/>
      <name val="Calibri"/>
      <family val="2"/>
    </font>
    <font>
      <b/>
      <sz val="20"/>
      <color rgb="FF00B0F0"/>
      <name val="Calibri"/>
      <family val="2"/>
    </font>
    <font>
      <sz val="20"/>
      <color rgb="FF00B0F0"/>
      <name val="Calibri"/>
      <family val="2"/>
    </font>
    <font>
      <sz val="18"/>
      <name val="Calibri"/>
      <family val="2"/>
      <scheme val="minor"/>
    </font>
    <font>
      <u/>
      <sz val="18"/>
      <color theme="1"/>
      <name val="Calibri"/>
      <family val="2"/>
      <scheme val="minor"/>
    </font>
    <font>
      <sz val="14"/>
      <name val="Calibri"/>
      <family val="2"/>
      <scheme val="minor"/>
    </font>
    <font>
      <sz val="20"/>
      <name val="Arial"/>
      <family val="2"/>
    </font>
  </fonts>
  <fills count="17">
    <fill>
      <patternFill patternType="none"/>
    </fill>
    <fill>
      <patternFill patternType="gray125"/>
    </fill>
    <fill>
      <patternFill patternType="solid">
        <fgColor rgb="FF92D050"/>
        <bgColor indexed="64"/>
      </patternFill>
    </fill>
    <fill>
      <patternFill patternType="solid">
        <fgColor rgb="FF00B0F0"/>
        <bgColor indexed="64"/>
      </patternFill>
    </fill>
    <fill>
      <patternFill patternType="solid">
        <fgColor theme="0"/>
        <bgColor indexed="64"/>
      </patternFill>
    </fill>
    <fill>
      <patternFill patternType="solid">
        <fgColor theme="6" tint="0.39997558519241921"/>
        <bgColor indexed="64"/>
      </patternFill>
    </fill>
    <fill>
      <patternFill patternType="solid">
        <fgColor rgb="FF0070C0"/>
        <bgColor indexed="64"/>
      </patternFill>
    </fill>
    <fill>
      <patternFill patternType="solid">
        <fgColor rgb="FF7030A0"/>
        <bgColor indexed="64"/>
      </patternFill>
    </fill>
    <fill>
      <patternFill patternType="solid">
        <fgColor rgb="FFFFC000"/>
        <bgColor indexed="64"/>
      </patternFill>
    </fill>
    <fill>
      <patternFill patternType="solid">
        <fgColor theme="5"/>
        <bgColor indexed="64"/>
      </patternFill>
    </fill>
    <fill>
      <patternFill patternType="solid">
        <fgColor theme="9" tint="0.39997558519241921"/>
        <bgColor indexed="64"/>
      </patternFill>
    </fill>
    <fill>
      <patternFill patternType="solid">
        <fgColor rgb="FF00B050"/>
        <bgColor indexed="64"/>
      </patternFill>
    </fill>
    <fill>
      <patternFill patternType="solid">
        <fgColor rgb="FFFFFF00"/>
        <bgColor indexed="64"/>
      </patternFill>
    </fill>
    <fill>
      <patternFill patternType="solid">
        <fgColor rgb="FFFF0000"/>
        <bgColor indexed="64"/>
      </patternFill>
    </fill>
    <fill>
      <patternFill patternType="solid">
        <fgColor rgb="FFC00000"/>
        <bgColor indexed="64"/>
      </patternFill>
    </fill>
    <fill>
      <patternFill patternType="solid">
        <fgColor theme="9" tint="0.59999389629810485"/>
        <bgColor indexed="64"/>
      </patternFill>
    </fill>
    <fill>
      <patternFill patternType="solid">
        <fgColor theme="5" tint="0.79998168889431442"/>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indexed="64"/>
      </left>
      <right style="thin">
        <color indexed="64"/>
      </right>
      <top/>
      <bottom/>
      <diagonal/>
    </border>
  </borders>
  <cellStyleXfs count="4">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cellStyleXfs>
  <cellXfs count="390">
    <xf numFmtId="0" fontId="0" fillId="0" borderId="0" xfId="0"/>
    <xf numFmtId="164" fontId="0" fillId="0" borderId="0" xfId="0" applyNumberFormat="1" applyAlignment="1">
      <alignment horizontal="center" vertical="center"/>
    </xf>
    <xf numFmtId="9" fontId="0" fillId="0" borderId="0" xfId="3" applyFont="1"/>
    <xf numFmtId="164" fontId="3" fillId="0" borderId="2" xfId="0" applyNumberFormat="1" applyFont="1" applyBorder="1" applyAlignment="1">
      <alignment horizontal="center"/>
    </xf>
    <xf numFmtId="0" fontId="0" fillId="0" borderId="0" xfId="0" applyAlignment="1">
      <alignment horizontal="center"/>
    </xf>
    <xf numFmtId="0" fontId="2" fillId="0" borderId="0" xfId="0" applyFont="1" applyAlignment="1">
      <alignment horizontal="center"/>
    </xf>
    <xf numFmtId="164" fontId="3" fillId="0" borderId="2" xfId="0" applyNumberFormat="1" applyFont="1" applyBorder="1"/>
    <xf numFmtId="0" fontId="4" fillId="0" borderId="2" xfId="0" applyFont="1" applyBorder="1" applyAlignment="1">
      <alignment wrapText="1"/>
    </xf>
    <xf numFmtId="0" fontId="4" fillId="0" borderId="2" xfId="0" applyFont="1" applyBorder="1" applyAlignment="1">
      <alignment horizontal="left" wrapText="1"/>
    </xf>
    <xf numFmtId="0" fontId="0" fillId="0" borderId="2" xfId="0" applyBorder="1" applyAlignment="1">
      <alignment horizontal="center" wrapText="1"/>
    </xf>
    <xf numFmtId="44" fontId="0" fillId="0" borderId="2" xfId="2" applyFont="1" applyBorder="1" applyAlignment="1">
      <alignment horizontal="center"/>
    </xf>
    <xf numFmtId="0" fontId="5" fillId="0" borderId="2" xfId="0" applyFont="1" applyBorder="1" applyAlignment="1">
      <alignment horizontal="center" wrapText="1"/>
    </xf>
    <xf numFmtId="164" fontId="4" fillId="0" borderId="2" xfId="0" applyNumberFormat="1" applyFont="1" applyBorder="1" applyAlignment="1">
      <alignment horizontal="center" wrapText="1"/>
    </xf>
    <xf numFmtId="165" fontId="5" fillId="0" borderId="2" xfId="0" applyNumberFormat="1" applyFont="1" applyBorder="1" applyAlignment="1">
      <alignment horizontal="center" wrapText="1"/>
    </xf>
    <xf numFmtId="165" fontId="5" fillId="0" borderId="2" xfId="1" applyNumberFormat="1" applyFont="1" applyBorder="1" applyAlignment="1">
      <alignment horizontal="center" wrapText="1"/>
    </xf>
    <xf numFmtId="164" fontId="0" fillId="0" borderId="0" xfId="0" applyNumberFormat="1"/>
    <xf numFmtId="164" fontId="14" fillId="2" borderId="2" xfId="3" applyNumberFormat="1" applyFont="1" applyFill="1" applyBorder="1" applyAlignment="1">
      <alignment horizontal="center"/>
    </xf>
    <xf numFmtId="164" fontId="3" fillId="3" borderId="2" xfId="0" applyNumberFormat="1" applyFont="1" applyFill="1" applyBorder="1" applyAlignment="1">
      <alignment horizontal="center"/>
    </xf>
    <xf numFmtId="10" fontId="15" fillId="0" borderId="2" xfId="3" applyNumberFormat="1" applyFont="1" applyBorder="1" applyAlignment="1">
      <alignment horizontal="center"/>
    </xf>
    <xf numFmtId="10" fontId="13" fillId="0" borderId="2" xfId="0" applyNumberFormat="1" applyFont="1" applyBorder="1" applyAlignment="1">
      <alignment horizontal="center"/>
    </xf>
    <xf numFmtId="10" fontId="13" fillId="0" borderId="2" xfId="3" applyNumberFormat="1" applyFont="1" applyBorder="1" applyAlignment="1"/>
    <xf numFmtId="10" fontId="13" fillId="0" borderId="2" xfId="0" applyNumberFormat="1" applyFont="1" applyBorder="1"/>
    <xf numFmtId="10" fontId="3" fillId="0" borderId="4" xfId="0" applyNumberFormat="1" applyFont="1" applyBorder="1" applyAlignment="1">
      <alignment horizontal="center"/>
    </xf>
    <xf numFmtId="164" fontId="3" fillId="0" borderId="2" xfId="0" applyNumberFormat="1" applyFont="1" applyBorder="1" applyAlignment="1">
      <alignment horizontal="center" wrapText="1"/>
    </xf>
    <xf numFmtId="44" fontId="18" fillId="0" borderId="2" xfId="2" applyFont="1" applyBorder="1" applyAlignment="1">
      <alignment horizontal="center"/>
    </xf>
    <xf numFmtId="44" fontId="6" fillId="0" borderId="2" xfId="2" applyFont="1" applyBorder="1" applyAlignment="1">
      <alignment horizontal="center"/>
    </xf>
    <xf numFmtId="164" fontId="6" fillId="3" borderId="2" xfId="0" applyNumberFormat="1" applyFont="1" applyFill="1" applyBorder="1" applyAlignment="1">
      <alignment horizontal="center"/>
    </xf>
    <xf numFmtId="10" fontId="18" fillId="0" borderId="2" xfId="3" applyNumberFormat="1" applyFont="1" applyBorder="1" applyAlignment="1">
      <alignment horizontal="center"/>
    </xf>
    <xf numFmtId="164" fontId="19" fillId="2" borderId="2" xfId="3" applyNumberFormat="1" applyFont="1" applyFill="1" applyBorder="1" applyAlignment="1">
      <alignment horizontal="center"/>
    </xf>
    <xf numFmtId="10" fontId="19" fillId="0" borderId="2" xfId="3" applyNumberFormat="1" applyFont="1" applyBorder="1" applyAlignment="1">
      <alignment horizontal="center"/>
    </xf>
    <xf numFmtId="10" fontId="18" fillId="0" borderId="2" xfId="0" applyNumberFormat="1" applyFont="1" applyBorder="1" applyAlignment="1">
      <alignment horizontal="center"/>
    </xf>
    <xf numFmtId="165" fontId="20" fillId="0" borderId="2" xfId="0" applyNumberFormat="1" applyFont="1" applyBorder="1" applyAlignment="1">
      <alignment horizontal="center" wrapText="1"/>
    </xf>
    <xf numFmtId="165" fontId="21" fillId="0" borderId="2" xfId="0" applyNumberFormat="1" applyFont="1" applyBorder="1" applyAlignment="1">
      <alignment horizontal="center" wrapText="1"/>
    </xf>
    <xf numFmtId="10" fontId="18" fillId="0" borderId="2" xfId="3" applyNumberFormat="1" applyFont="1" applyBorder="1" applyAlignment="1"/>
    <xf numFmtId="165" fontId="20" fillId="0" borderId="2" xfId="1" applyNumberFormat="1" applyFont="1" applyBorder="1" applyAlignment="1">
      <alignment horizontal="center" wrapText="1"/>
    </xf>
    <xf numFmtId="165" fontId="21" fillId="0" borderId="2" xfId="1" applyNumberFormat="1" applyFont="1" applyBorder="1" applyAlignment="1">
      <alignment horizontal="center" wrapText="1"/>
    </xf>
    <xf numFmtId="164" fontId="18" fillId="0" borderId="2" xfId="0" applyNumberFormat="1" applyFont="1" applyBorder="1" applyAlignment="1">
      <alignment horizontal="center"/>
    </xf>
    <xf numFmtId="164" fontId="6" fillId="0" borderId="2" xfId="0" applyNumberFormat="1" applyFont="1" applyBorder="1" applyAlignment="1">
      <alignment horizontal="center"/>
    </xf>
    <xf numFmtId="10" fontId="18" fillId="0" borderId="2" xfId="0" applyNumberFormat="1" applyFont="1" applyBorder="1"/>
    <xf numFmtId="0" fontId="7" fillId="0" borderId="0" xfId="0" applyFont="1" applyAlignment="1">
      <alignment horizontal="center"/>
    </xf>
    <xf numFmtId="0" fontId="6" fillId="0" borderId="0" xfId="0" applyFont="1" applyAlignment="1">
      <alignment horizontal="center"/>
    </xf>
    <xf numFmtId="0" fontId="0" fillId="0" borderId="0" xfId="0" applyAlignment="1">
      <alignment horizontal="center" vertical="top"/>
    </xf>
    <xf numFmtId="0" fontId="6" fillId="0" borderId="0" xfId="0" applyFont="1" applyAlignment="1">
      <alignment horizontal="center" vertical="center"/>
    </xf>
    <xf numFmtId="44" fontId="0" fillId="0" borderId="0" xfId="2" applyFont="1"/>
    <xf numFmtId="164" fontId="0" fillId="0" borderId="0" xfId="2" applyNumberFormat="1" applyFont="1"/>
    <xf numFmtId="44" fontId="0" fillId="0" borderId="0" xfId="0" applyNumberFormat="1"/>
    <xf numFmtId="0" fontId="7" fillId="0" borderId="0" xfId="0" applyFont="1" applyAlignment="1">
      <alignment horizontal="center" wrapText="1"/>
    </xf>
    <xf numFmtId="10" fontId="22" fillId="0" borderId="2" xfId="0" applyNumberFormat="1" applyFont="1" applyBorder="1" applyAlignment="1">
      <alignment horizontal="center"/>
    </xf>
    <xf numFmtId="10" fontId="22" fillId="0" borderId="2" xfId="3" applyNumberFormat="1" applyFont="1" applyBorder="1" applyAlignment="1"/>
    <xf numFmtId="10" fontId="22" fillId="0" borderId="2" xfId="0" applyNumberFormat="1" applyFont="1" applyBorder="1"/>
    <xf numFmtId="10" fontId="0" fillId="0" borderId="0" xfId="0" applyNumberFormat="1"/>
    <xf numFmtId="10" fontId="0" fillId="0" borderId="0" xfId="3" applyNumberFormat="1" applyFont="1"/>
    <xf numFmtId="164" fontId="3" fillId="5" borderId="2" xfId="0" applyNumberFormat="1" applyFont="1" applyFill="1" applyBorder="1" applyAlignment="1">
      <alignment horizontal="center"/>
    </xf>
    <xf numFmtId="10" fontId="15" fillId="5" borderId="2" xfId="3" applyNumberFormat="1" applyFont="1" applyFill="1" applyBorder="1" applyAlignment="1">
      <alignment horizontal="center"/>
    </xf>
    <xf numFmtId="0" fontId="4" fillId="0" borderId="3" xfId="0" applyFont="1" applyBorder="1" applyAlignment="1">
      <alignment wrapText="1"/>
    </xf>
    <xf numFmtId="164" fontId="4" fillId="0" borderId="4" xfId="0" applyNumberFormat="1" applyFont="1" applyBorder="1" applyAlignment="1">
      <alignment horizontal="center" wrapText="1"/>
    </xf>
    <xf numFmtId="164" fontId="4" fillId="0" borderId="5" xfId="0" applyNumberFormat="1" applyFont="1" applyBorder="1" applyAlignment="1">
      <alignment horizontal="center" wrapText="1"/>
    </xf>
    <xf numFmtId="0" fontId="23" fillId="0" borderId="4" xfId="0" applyFont="1" applyBorder="1" applyAlignment="1">
      <alignment horizontal="center" wrapText="1"/>
    </xf>
    <xf numFmtId="44" fontId="0" fillId="3" borderId="2" xfId="2" applyFont="1" applyFill="1" applyBorder="1" applyAlignment="1">
      <alignment horizontal="center"/>
    </xf>
    <xf numFmtId="165" fontId="5" fillId="2" borderId="2" xfId="0" applyNumberFormat="1" applyFont="1" applyFill="1" applyBorder="1" applyAlignment="1">
      <alignment horizontal="center" wrapText="1"/>
    </xf>
    <xf numFmtId="165" fontId="5" fillId="2" borderId="2" xfId="1" applyNumberFormat="1" applyFont="1" applyFill="1" applyBorder="1" applyAlignment="1">
      <alignment horizontal="center" wrapText="1"/>
    </xf>
    <xf numFmtId="164" fontId="3" fillId="2" borderId="2" xfId="0" applyNumberFormat="1" applyFont="1" applyFill="1" applyBorder="1" applyAlignment="1">
      <alignment horizontal="center"/>
    </xf>
    <xf numFmtId="10" fontId="3" fillId="2" borderId="2" xfId="3" applyNumberFormat="1" applyFont="1" applyFill="1" applyBorder="1" applyAlignment="1">
      <alignment horizontal="center"/>
    </xf>
    <xf numFmtId="164" fontId="14" fillId="4" borderId="2" xfId="3" applyNumberFormat="1" applyFont="1" applyFill="1" applyBorder="1" applyAlignment="1">
      <alignment horizontal="center"/>
    </xf>
    <xf numFmtId="10" fontId="3" fillId="0" borderId="2" xfId="3" applyNumberFormat="1" applyFont="1" applyBorder="1" applyAlignment="1">
      <alignment horizontal="center"/>
    </xf>
    <xf numFmtId="10" fontId="3" fillId="3" borderId="2" xfId="3" applyNumberFormat="1" applyFont="1" applyFill="1" applyBorder="1" applyAlignment="1">
      <alignment horizontal="center"/>
    </xf>
    <xf numFmtId="164" fontId="24" fillId="4" borderId="2" xfId="3" applyNumberFormat="1" applyFont="1" applyFill="1" applyBorder="1" applyAlignment="1">
      <alignment horizontal="center"/>
    </xf>
    <xf numFmtId="10" fontId="24" fillId="0" borderId="2" xfId="3" applyNumberFormat="1" applyFont="1" applyBorder="1" applyAlignment="1">
      <alignment horizontal="center"/>
    </xf>
    <xf numFmtId="164" fontId="3" fillId="4" borderId="2" xfId="3" applyNumberFormat="1" applyFont="1" applyFill="1" applyBorder="1" applyAlignment="1">
      <alignment horizontal="center"/>
    </xf>
    <xf numFmtId="10" fontId="25" fillId="4" borderId="2" xfId="3" applyNumberFormat="1" applyFont="1" applyFill="1" applyBorder="1" applyAlignment="1">
      <alignment horizontal="center"/>
    </xf>
    <xf numFmtId="0" fontId="0" fillId="0" borderId="2" xfId="0" applyBorder="1"/>
    <xf numFmtId="10" fontId="0" fillId="0" borderId="2" xfId="3" applyNumberFormat="1" applyFont="1" applyBorder="1"/>
    <xf numFmtId="0" fontId="0" fillId="0" borderId="2" xfId="0" applyBorder="1" applyAlignment="1">
      <alignment horizontal="center" vertical="center"/>
    </xf>
    <xf numFmtId="0" fontId="13" fillId="0" borderId="2" xfId="0" applyFont="1" applyBorder="1" applyAlignment="1">
      <alignment horizontal="center" wrapText="1"/>
    </xf>
    <xf numFmtId="0" fontId="0" fillId="3" borderId="2" xfId="0" applyFill="1" applyBorder="1" applyAlignment="1">
      <alignment horizontal="center" wrapText="1"/>
    </xf>
    <xf numFmtId="0" fontId="0" fillId="0" borderId="5" xfId="0" applyBorder="1" applyAlignment="1">
      <alignment horizontal="center" vertical="center"/>
    </xf>
    <xf numFmtId="0" fontId="0" fillId="0" borderId="5" xfId="0" applyBorder="1"/>
    <xf numFmtId="0" fontId="0" fillId="3" borderId="2" xfId="0" applyFill="1" applyBorder="1" applyAlignment="1">
      <alignment wrapText="1"/>
    </xf>
    <xf numFmtId="43" fontId="13" fillId="0" borderId="2" xfId="1" applyFont="1" applyBorder="1"/>
    <xf numFmtId="43" fontId="0" fillId="4" borderId="2" xfId="1" applyFont="1" applyFill="1" applyBorder="1"/>
    <xf numFmtId="0" fontId="0" fillId="0" borderId="2" xfId="0" applyBorder="1" applyAlignment="1">
      <alignment vertical="center"/>
    </xf>
    <xf numFmtId="44" fontId="0" fillId="4" borderId="2" xfId="2" applyFont="1" applyFill="1" applyBorder="1" applyAlignment="1">
      <alignment horizontal="center"/>
    </xf>
    <xf numFmtId="165" fontId="5" fillId="4" borderId="2" xfId="0" applyNumberFormat="1" applyFont="1" applyFill="1" applyBorder="1" applyAlignment="1">
      <alignment horizontal="center" wrapText="1"/>
    </xf>
    <xf numFmtId="165" fontId="5" fillId="4" borderId="2" xfId="1" applyNumberFormat="1" applyFont="1" applyFill="1" applyBorder="1" applyAlignment="1">
      <alignment horizontal="center" wrapText="1"/>
    </xf>
    <xf numFmtId="0" fontId="0" fillId="0" borderId="2" xfId="0" applyBorder="1" applyAlignment="1">
      <alignment horizontal="center" vertical="center" wrapText="1"/>
    </xf>
    <xf numFmtId="0" fontId="0" fillId="0" borderId="0" xfId="0" applyAlignment="1">
      <alignment vertical="center"/>
    </xf>
    <xf numFmtId="10" fontId="0" fillId="0" borderId="0" xfId="3" applyNumberFormat="1" applyFont="1" applyBorder="1"/>
    <xf numFmtId="0" fontId="0" fillId="0" borderId="0" xfId="0" applyAlignment="1">
      <alignment horizontal="center" wrapText="1"/>
    </xf>
    <xf numFmtId="0" fontId="0" fillId="0" borderId="0" xfId="0" applyAlignment="1">
      <alignment horizontal="center" vertical="center"/>
    </xf>
    <xf numFmtId="0" fontId="6" fillId="0" borderId="0" xfId="0" applyFont="1"/>
    <xf numFmtId="0" fontId="3" fillId="0" borderId="0" xfId="0" applyFont="1" applyAlignment="1">
      <alignment horizontal="center"/>
    </xf>
    <xf numFmtId="164" fontId="17" fillId="0" borderId="0" xfId="0" applyNumberFormat="1" applyFont="1" applyAlignment="1">
      <alignment horizontal="left"/>
    </xf>
    <xf numFmtId="10" fontId="0" fillId="0" borderId="2" xfId="0" applyNumberFormat="1" applyBorder="1"/>
    <xf numFmtId="43" fontId="13" fillId="4" borderId="2" xfId="1" applyFont="1" applyFill="1" applyBorder="1"/>
    <xf numFmtId="0" fontId="16" fillId="0" borderId="0" xfId="0" applyFont="1"/>
    <xf numFmtId="0" fontId="29" fillId="0" borderId="2" xfId="0" applyFont="1" applyBorder="1" applyAlignment="1">
      <alignment vertical="center"/>
    </xf>
    <xf numFmtId="0" fontId="29" fillId="0" borderId="0" xfId="0" applyFont="1"/>
    <xf numFmtId="0" fontId="28" fillId="0" borderId="1" xfId="0" applyFont="1" applyBorder="1" applyAlignment="1">
      <alignment horizontal="center" vertical="center" wrapText="1"/>
    </xf>
    <xf numFmtId="0" fontId="29" fillId="0" borderId="0" xfId="0" applyFont="1" applyAlignment="1">
      <alignment horizontal="center" vertical="center"/>
    </xf>
    <xf numFmtId="164" fontId="29" fillId="0" borderId="0" xfId="0" applyNumberFormat="1" applyFont="1" applyAlignment="1">
      <alignment horizontal="center" vertical="center"/>
    </xf>
    <xf numFmtId="0" fontId="29" fillId="0" borderId="0" xfId="0" applyFont="1" applyAlignment="1">
      <alignment horizontal="center"/>
    </xf>
    <xf numFmtId="0" fontId="31" fillId="0" borderId="0" xfId="0" applyFont="1" applyAlignment="1">
      <alignment horizontal="center"/>
    </xf>
    <xf numFmtId="0" fontId="29" fillId="0" borderId="0" xfId="0" applyFont="1" applyAlignment="1">
      <alignment horizontal="center" vertical="top"/>
    </xf>
    <xf numFmtId="0" fontId="17" fillId="0" borderId="4" xfId="0" applyFont="1" applyBorder="1" applyAlignment="1">
      <alignment horizontal="center" vertical="center"/>
    </xf>
    <xf numFmtId="0" fontId="17" fillId="0" borderId="2" xfId="0" applyFont="1" applyBorder="1" applyAlignment="1">
      <alignment horizontal="center" vertical="center"/>
    </xf>
    <xf numFmtId="165" fontId="33" fillId="0" borderId="2" xfId="2" applyNumberFormat="1" applyFont="1" applyBorder="1" applyAlignment="1">
      <alignment horizontal="center" vertical="center"/>
    </xf>
    <xf numFmtId="165" fontId="33" fillId="0" borderId="2" xfId="3" applyNumberFormat="1" applyFont="1" applyBorder="1" applyAlignment="1">
      <alignment vertical="center"/>
    </xf>
    <xf numFmtId="165" fontId="35" fillId="4" borderId="2" xfId="2" applyNumberFormat="1" applyFont="1" applyFill="1" applyBorder="1" applyAlignment="1">
      <alignment vertical="center"/>
    </xf>
    <xf numFmtId="0" fontId="34" fillId="0" borderId="7" xfId="0" applyFont="1" applyBorder="1" applyAlignment="1">
      <alignment horizontal="center" vertical="center" wrapText="1"/>
    </xf>
    <xf numFmtId="0" fontId="28" fillId="0" borderId="0" xfId="0" applyFont="1" applyAlignment="1">
      <alignment horizontal="center" vertical="center" wrapText="1"/>
    </xf>
    <xf numFmtId="165" fontId="0" fillId="0" borderId="0" xfId="0" applyNumberFormat="1"/>
    <xf numFmtId="0" fontId="36" fillId="0" borderId="0" xfId="0" applyFont="1"/>
    <xf numFmtId="0" fontId="37" fillId="0" borderId="0" xfId="0" applyFont="1"/>
    <xf numFmtId="0" fontId="33" fillId="0" borderId="7" xfId="0" applyFont="1" applyBorder="1" applyAlignment="1">
      <alignment horizontal="center" vertical="center"/>
    </xf>
    <xf numFmtId="0" fontId="39" fillId="0" borderId="2" xfId="0" applyFont="1" applyBorder="1" applyAlignment="1">
      <alignment vertical="center"/>
    </xf>
    <xf numFmtId="0" fontId="40" fillId="0" borderId="2" xfId="0" applyFont="1" applyBorder="1" applyAlignment="1">
      <alignment vertical="center" wrapText="1"/>
    </xf>
    <xf numFmtId="0" fontId="40" fillId="0" borderId="2" xfId="0" applyFont="1" applyBorder="1" applyAlignment="1">
      <alignment horizontal="center" vertical="center" wrapText="1"/>
    </xf>
    <xf numFmtId="10" fontId="39" fillId="4" borderId="2" xfId="3" applyNumberFormat="1" applyFont="1" applyFill="1" applyBorder="1" applyAlignment="1">
      <alignment horizontal="center" vertical="center" wrapText="1"/>
    </xf>
    <xf numFmtId="0" fontId="40" fillId="10" borderId="2" xfId="0" applyFont="1" applyFill="1" applyBorder="1" applyAlignment="1">
      <alignment horizontal="center" vertical="center" wrapText="1"/>
    </xf>
    <xf numFmtId="0" fontId="40" fillId="4" borderId="2" xfId="0" applyFont="1" applyFill="1" applyBorder="1" applyAlignment="1">
      <alignment horizontal="center" vertical="center" wrapText="1"/>
    </xf>
    <xf numFmtId="164" fontId="41" fillId="0" borderId="2" xfId="0" applyNumberFormat="1" applyFont="1" applyBorder="1" applyAlignment="1">
      <alignment horizontal="center" vertical="center" wrapText="1"/>
    </xf>
    <xf numFmtId="164" fontId="42" fillId="0" borderId="2" xfId="0" applyNumberFormat="1" applyFont="1" applyBorder="1" applyAlignment="1">
      <alignment horizontal="center" vertical="center" wrapText="1"/>
    </xf>
    <xf numFmtId="164" fontId="39" fillId="0" borderId="2" xfId="2" applyNumberFormat="1" applyFont="1" applyBorder="1" applyAlignment="1">
      <alignment horizontal="center" vertical="center"/>
    </xf>
    <xf numFmtId="0" fontId="40" fillId="12" borderId="2" xfId="0" applyFont="1" applyFill="1" applyBorder="1" applyAlignment="1">
      <alignment horizontal="center" vertical="center" wrapText="1"/>
    </xf>
    <xf numFmtId="0" fontId="39" fillId="0" borderId="0" xfId="0" applyFont="1"/>
    <xf numFmtId="0" fontId="40" fillId="14" borderId="2" xfId="0" applyFont="1" applyFill="1" applyBorder="1" applyAlignment="1">
      <alignment horizontal="center" vertical="center" wrapText="1"/>
    </xf>
    <xf numFmtId="0" fontId="40" fillId="6" borderId="2" xfId="0" applyFont="1" applyFill="1" applyBorder="1" applyAlignment="1">
      <alignment horizontal="center" vertical="center" wrapText="1"/>
    </xf>
    <xf numFmtId="0" fontId="40" fillId="7" borderId="2" xfId="0" applyFont="1" applyFill="1" applyBorder="1" applyAlignment="1">
      <alignment horizontal="center" vertical="center" wrapText="1"/>
    </xf>
    <xf numFmtId="0" fontId="39" fillId="0" borderId="2" xfId="0" applyFont="1" applyBorder="1"/>
    <xf numFmtId="0" fontId="40" fillId="11" borderId="2" xfId="0" applyFont="1" applyFill="1" applyBorder="1" applyAlignment="1">
      <alignment horizontal="center" vertical="center" wrapText="1"/>
    </xf>
    <xf numFmtId="0" fontId="40" fillId="0" borderId="7" xfId="0" applyFont="1" applyBorder="1" applyAlignment="1">
      <alignment horizontal="center" vertical="center" wrapText="1"/>
    </xf>
    <xf numFmtId="0" fontId="40" fillId="3" borderId="2" xfId="0" applyFont="1" applyFill="1" applyBorder="1" applyAlignment="1">
      <alignment horizontal="center" vertical="center" wrapText="1"/>
    </xf>
    <xf numFmtId="0" fontId="40" fillId="0" borderId="5" xfId="0" applyFont="1" applyBorder="1" applyAlignment="1">
      <alignment horizontal="center" vertical="center" wrapText="1"/>
    </xf>
    <xf numFmtId="164" fontId="43" fillId="0" borderId="2" xfId="0" applyNumberFormat="1" applyFont="1" applyBorder="1" applyAlignment="1">
      <alignment horizontal="center" vertical="center" wrapText="1"/>
    </xf>
    <xf numFmtId="164" fontId="43" fillId="0" borderId="5" xfId="0" applyNumberFormat="1" applyFont="1" applyBorder="1" applyAlignment="1">
      <alignment horizontal="center" vertical="center" wrapText="1"/>
    </xf>
    <xf numFmtId="164" fontId="40" fillId="0" borderId="5" xfId="0" applyNumberFormat="1" applyFont="1" applyBorder="1" applyAlignment="1">
      <alignment horizontal="center" vertical="center" wrapText="1"/>
    </xf>
    <xf numFmtId="164" fontId="44" fillId="0" borderId="5" xfId="0" applyNumberFormat="1" applyFont="1" applyBorder="1" applyAlignment="1">
      <alignment horizontal="center" vertical="center" wrapText="1"/>
    </xf>
    <xf numFmtId="10" fontId="39" fillId="0" borderId="2" xfId="3" applyNumberFormat="1" applyFont="1" applyBorder="1" applyAlignment="1">
      <alignment vertical="center"/>
    </xf>
    <xf numFmtId="0" fontId="33" fillId="0" borderId="2" xfId="0" applyFont="1" applyBorder="1" applyAlignment="1">
      <alignment vertical="center"/>
    </xf>
    <xf numFmtId="0" fontId="33" fillId="0" borderId="4" xfId="0" applyFont="1" applyBorder="1" applyAlignment="1">
      <alignment horizontal="center" vertical="center"/>
    </xf>
    <xf numFmtId="164" fontId="35" fillId="4" borderId="2" xfId="2" applyNumberFormat="1" applyFont="1" applyFill="1" applyBorder="1" applyAlignment="1">
      <alignment vertical="center"/>
    </xf>
    <xf numFmtId="0" fontId="33" fillId="0" borderId="0" xfId="0" applyFont="1"/>
    <xf numFmtId="0" fontId="33" fillId="0" borderId="0" xfId="0" applyFont="1" applyAlignment="1">
      <alignment horizontal="center"/>
    </xf>
    <xf numFmtId="164" fontId="33" fillId="0" borderId="0" xfId="0" applyNumberFormat="1" applyFont="1" applyAlignment="1">
      <alignment horizontal="left"/>
    </xf>
    <xf numFmtId="44" fontId="33" fillId="0" borderId="0" xfId="0" applyNumberFormat="1" applyFont="1"/>
    <xf numFmtId="164" fontId="33" fillId="0" borderId="0" xfId="0" applyNumberFormat="1" applyFont="1" applyAlignment="1">
      <alignment horizontal="center" vertical="center"/>
    </xf>
    <xf numFmtId="164" fontId="33" fillId="0" borderId="0" xfId="0" applyNumberFormat="1" applyFont="1"/>
    <xf numFmtId="0" fontId="33" fillId="0" borderId="0" xfId="0" applyFont="1" applyAlignment="1">
      <alignment horizontal="center" vertical="center"/>
    </xf>
    <xf numFmtId="0" fontId="45" fillId="0" borderId="0" xfId="0" applyFont="1" applyAlignment="1">
      <alignment horizontal="center"/>
    </xf>
    <xf numFmtId="0" fontId="33" fillId="0" borderId="0" xfId="0" applyFont="1" applyAlignment="1">
      <alignment horizontal="center" vertical="top"/>
    </xf>
    <xf numFmtId="0" fontId="37" fillId="0" borderId="0" xfId="0" applyFont="1" applyAlignment="1">
      <alignment horizontal="center"/>
    </xf>
    <xf numFmtId="164" fontId="37" fillId="0" borderId="0" xfId="0" applyNumberFormat="1" applyFont="1" applyAlignment="1">
      <alignment horizontal="left"/>
    </xf>
    <xf numFmtId="44" fontId="37" fillId="0" borderId="0" xfId="0" applyNumberFormat="1" applyFont="1"/>
    <xf numFmtId="164" fontId="37" fillId="0" borderId="0" xfId="0" applyNumberFormat="1" applyFont="1" applyAlignment="1">
      <alignment horizontal="center" vertical="center"/>
    </xf>
    <xf numFmtId="0" fontId="37" fillId="0" borderId="0" xfId="0" applyFont="1" applyAlignment="1">
      <alignment horizontal="center" vertical="center"/>
    </xf>
    <xf numFmtId="164" fontId="37" fillId="0" borderId="0" xfId="0" applyNumberFormat="1" applyFont="1"/>
    <xf numFmtId="0" fontId="38" fillId="0" borderId="0" xfId="0" applyFont="1" applyAlignment="1">
      <alignment horizontal="center"/>
    </xf>
    <xf numFmtId="0" fontId="37" fillId="0" borderId="0" xfId="0" applyFont="1" applyAlignment="1">
      <alignment horizontal="center" vertical="top"/>
    </xf>
    <xf numFmtId="0" fontId="33" fillId="0" borderId="2" xfId="0" applyFont="1" applyBorder="1" applyAlignment="1">
      <alignment horizontal="center" vertical="center"/>
    </xf>
    <xf numFmtId="10" fontId="33" fillId="4" borderId="2" xfId="3" applyNumberFormat="1" applyFont="1" applyFill="1" applyBorder="1" applyAlignment="1">
      <alignment horizontal="center" vertical="center" wrapText="1"/>
    </xf>
    <xf numFmtId="0" fontId="36" fillId="0" borderId="2" xfId="0" applyFont="1" applyBorder="1" applyAlignment="1">
      <alignment vertical="center"/>
    </xf>
    <xf numFmtId="0" fontId="17" fillId="0" borderId="0" xfId="0" applyFont="1"/>
    <xf numFmtId="0" fontId="36" fillId="0" borderId="4" xfId="0" applyFont="1" applyBorder="1" applyAlignment="1">
      <alignment horizontal="center" vertical="center"/>
    </xf>
    <xf numFmtId="164" fontId="47" fillId="4" borderId="2" xfId="2" applyNumberFormat="1" applyFont="1" applyFill="1" applyBorder="1" applyAlignment="1">
      <alignment vertical="center"/>
    </xf>
    <xf numFmtId="0" fontId="36" fillId="0" borderId="7" xfId="0" applyFont="1" applyBorder="1" applyAlignment="1">
      <alignment horizontal="center" vertical="center"/>
    </xf>
    <xf numFmtId="0" fontId="48" fillId="0" borderId="2" xfId="0" applyFont="1" applyBorder="1" applyAlignment="1">
      <alignment vertical="center"/>
    </xf>
    <xf numFmtId="0" fontId="49" fillId="0" borderId="2" xfId="0" applyFont="1" applyBorder="1" applyAlignment="1">
      <alignment vertical="center" wrapText="1"/>
    </xf>
    <xf numFmtId="0" fontId="49" fillId="0" borderId="2" xfId="0" applyFont="1" applyBorder="1" applyAlignment="1">
      <alignment horizontal="center" vertical="center" wrapText="1"/>
    </xf>
    <xf numFmtId="0" fontId="50" fillId="0" borderId="2" xfId="0" applyFont="1" applyBorder="1" applyAlignment="1">
      <alignment vertical="center" wrapText="1"/>
    </xf>
    <xf numFmtId="0" fontId="49" fillId="10" borderId="2" xfId="0" applyFont="1" applyFill="1" applyBorder="1" applyAlignment="1">
      <alignment horizontal="center" vertical="center" wrapText="1"/>
    </xf>
    <xf numFmtId="0" fontId="48" fillId="0" borderId="0" xfId="0" applyFont="1"/>
    <xf numFmtId="0" fontId="49" fillId="4" borderId="2" xfId="0" applyFont="1" applyFill="1" applyBorder="1" applyAlignment="1">
      <alignment horizontal="center" vertical="center" wrapText="1"/>
    </xf>
    <xf numFmtId="164" fontId="51" fillId="0" borderId="2" xfId="0" applyNumberFormat="1" applyFont="1" applyBorder="1" applyAlignment="1">
      <alignment horizontal="center" vertical="center" wrapText="1"/>
    </xf>
    <xf numFmtId="164" fontId="52" fillId="0" borderId="2" xfId="0" applyNumberFormat="1" applyFont="1" applyBorder="1" applyAlignment="1">
      <alignment horizontal="center" vertical="center" wrapText="1"/>
    </xf>
    <xf numFmtId="10" fontId="48" fillId="4" borderId="2" xfId="3" applyNumberFormat="1" applyFont="1" applyFill="1" applyBorder="1" applyAlignment="1">
      <alignment horizontal="center" vertical="center" wrapText="1"/>
    </xf>
    <xf numFmtId="0" fontId="48" fillId="0" borderId="2" xfId="0" applyFont="1" applyBorder="1"/>
    <xf numFmtId="164" fontId="48" fillId="0" borderId="2" xfId="2" applyNumberFormat="1" applyFont="1" applyBorder="1" applyAlignment="1">
      <alignment horizontal="center" vertical="center"/>
    </xf>
    <xf numFmtId="0" fontId="53" fillId="0" borderId="0" xfId="0" applyFont="1"/>
    <xf numFmtId="0" fontId="49" fillId="12" borderId="2" xfId="0" applyFont="1" applyFill="1" applyBorder="1" applyAlignment="1">
      <alignment horizontal="center" vertical="center" wrapText="1"/>
    </xf>
    <xf numFmtId="0" fontId="49" fillId="12" borderId="7" xfId="0" applyFont="1" applyFill="1" applyBorder="1" applyAlignment="1">
      <alignment horizontal="center" vertical="center" wrapText="1"/>
    </xf>
    <xf numFmtId="0" fontId="49" fillId="3" borderId="2" xfId="0" applyFont="1" applyFill="1" applyBorder="1" applyAlignment="1">
      <alignment horizontal="center" vertical="center" wrapText="1"/>
    </xf>
    <xf numFmtId="0" fontId="49" fillId="3" borderId="7" xfId="0" applyFont="1" applyFill="1" applyBorder="1" applyAlignment="1">
      <alignment horizontal="center" vertical="center" wrapText="1"/>
    </xf>
    <xf numFmtId="0" fontId="49" fillId="14" borderId="2" xfId="0" applyFont="1" applyFill="1" applyBorder="1" applyAlignment="1">
      <alignment horizontal="center" vertical="center" wrapText="1"/>
    </xf>
    <xf numFmtId="0" fontId="49" fillId="14" borderId="7" xfId="0" applyFont="1" applyFill="1" applyBorder="1" applyAlignment="1">
      <alignment horizontal="center" vertical="center" wrapText="1"/>
    </xf>
    <xf numFmtId="0" fontId="49" fillId="0" borderId="0" xfId="0" applyFont="1" applyAlignment="1">
      <alignment horizontal="center" vertical="center" wrapText="1"/>
    </xf>
    <xf numFmtId="0" fontId="49" fillId="0" borderId="6" xfId="0" applyFont="1" applyBorder="1" applyAlignment="1">
      <alignment horizontal="center" vertical="center" wrapText="1"/>
    </xf>
    <xf numFmtId="0" fontId="49" fillId="6" borderId="2" xfId="0" applyFont="1" applyFill="1" applyBorder="1" applyAlignment="1">
      <alignment horizontal="center" vertical="center" wrapText="1"/>
    </xf>
    <xf numFmtId="0" fontId="49" fillId="7" borderId="2" xfId="0" applyFont="1" applyFill="1" applyBorder="1" applyAlignment="1">
      <alignment horizontal="center" vertical="center" wrapText="1"/>
    </xf>
    <xf numFmtId="0" fontId="48" fillId="4" borderId="2" xfId="0" applyFont="1" applyFill="1" applyBorder="1" applyAlignment="1">
      <alignment vertical="center"/>
    </xf>
    <xf numFmtId="10" fontId="50" fillId="4" borderId="2" xfId="3" applyNumberFormat="1" applyFont="1" applyFill="1" applyBorder="1" applyAlignment="1">
      <alignment horizontal="center" vertical="center" wrapText="1"/>
    </xf>
    <xf numFmtId="0" fontId="49" fillId="11" borderId="2" xfId="0" applyFont="1" applyFill="1" applyBorder="1" applyAlignment="1">
      <alignment horizontal="center" vertical="center" wrapText="1"/>
    </xf>
    <xf numFmtId="0" fontId="49" fillId="11" borderId="7" xfId="0" applyFont="1" applyFill="1" applyBorder="1" applyAlignment="1">
      <alignment horizontal="center" vertical="center" wrapText="1"/>
    </xf>
    <xf numFmtId="0" fontId="49" fillId="8" borderId="2" xfId="0" applyFont="1" applyFill="1" applyBorder="1" applyAlignment="1">
      <alignment horizontal="center" vertical="center" wrapText="1"/>
    </xf>
    <xf numFmtId="0" fontId="49" fillId="15" borderId="2" xfId="0" applyFont="1" applyFill="1" applyBorder="1" applyAlignment="1">
      <alignment horizontal="center" vertical="center" wrapText="1"/>
    </xf>
    <xf numFmtId="0" fontId="49" fillId="15" borderId="7" xfId="0" applyFont="1" applyFill="1" applyBorder="1" applyAlignment="1">
      <alignment horizontal="center" vertical="center" wrapText="1"/>
    </xf>
    <xf numFmtId="0" fontId="49" fillId="15" borderId="6" xfId="0" applyFont="1" applyFill="1" applyBorder="1" applyAlignment="1">
      <alignment horizontal="center" vertical="center" wrapText="1"/>
    </xf>
    <xf numFmtId="0" fontId="50" fillId="0" borderId="2" xfId="0" applyFont="1" applyBorder="1" applyAlignment="1">
      <alignment horizontal="left" vertical="center" wrapText="1"/>
    </xf>
    <xf numFmtId="0" fontId="49" fillId="13" borderId="2" xfId="0" applyFont="1" applyFill="1" applyBorder="1" applyAlignment="1">
      <alignment horizontal="center" vertical="center" wrapText="1"/>
    </xf>
    <xf numFmtId="0" fontId="49" fillId="13" borderId="6" xfId="0" applyFont="1" applyFill="1" applyBorder="1" applyAlignment="1">
      <alignment horizontal="center" vertical="center" wrapText="1"/>
    </xf>
    <xf numFmtId="0" fontId="48" fillId="0" borderId="6" xfId="0" applyFont="1" applyBorder="1" applyAlignment="1">
      <alignment horizontal="center" vertical="center"/>
    </xf>
    <xf numFmtId="0" fontId="49" fillId="0" borderId="6" xfId="0" applyFont="1" applyBorder="1" applyAlignment="1">
      <alignment vertical="center" wrapText="1"/>
    </xf>
    <xf numFmtId="0" fontId="49" fillId="9" borderId="2" xfId="0" applyFont="1" applyFill="1" applyBorder="1" applyAlignment="1">
      <alignment horizontal="center" vertical="center" wrapText="1"/>
    </xf>
    <xf numFmtId="164" fontId="51" fillId="0" borderId="6" xfId="0" applyNumberFormat="1" applyFont="1" applyBorder="1" applyAlignment="1">
      <alignment vertical="center" wrapText="1"/>
    </xf>
    <xf numFmtId="164" fontId="52" fillId="0" borderId="6" xfId="0" applyNumberFormat="1" applyFont="1" applyBorder="1" applyAlignment="1">
      <alignment vertical="center" wrapText="1"/>
    </xf>
    <xf numFmtId="164" fontId="48" fillId="0" borderId="6" xfId="2" applyNumberFormat="1" applyFont="1" applyBorder="1" applyAlignment="1">
      <alignment vertical="center"/>
    </xf>
    <xf numFmtId="0" fontId="49" fillId="0" borderId="5" xfId="0" applyFont="1" applyBorder="1" applyAlignment="1">
      <alignment horizontal="center" vertical="center" wrapText="1"/>
    </xf>
    <xf numFmtId="0" fontId="50" fillId="0" borderId="5" xfId="0" applyFont="1" applyBorder="1" applyAlignment="1">
      <alignment horizontal="center" vertical="center" wrapText="1"/>
    </xf>
    <xf numFmtId="164" fontId="54" fillId="0" borderId="2" xfId="0" applyNumberFormat="1" applyFont="1" applyBorder="1" applyAlignment="1">
      <alignment horizontal="center" vertical="center" wrapText="1"/>
    </xf>
    <xf numFmtId="164" fontId="54" fillId="0" borderId="5" xfId="0" applyNumberFormat="1" applyFont="1" applyBorder="1" applyAlignment="1">
      <alignment horizontal="center" vertical="center" wrapText="1"/>
    </xf>
    <xf numFmtId="164" fontId="49" fillId="0" borderId="5" xfId="0" applyNumberFormat="1" applyFont="1" applyBorder="1" applyAlignment="1">
      <alignment horizontal="center" vertical="center" wrapText="1"/>
    </xf>
    <xf numFmtId="164" fontId="55" fillId="0" borderId="5" xfId="0" applyNumberFormat="1" applyFont="1" applyBorder="1" applyAlignment="1">
      <alignment horizontal="center" vertical="center" wrapText="1"/>
    </xf>
    <xf numFmtId="10" fontId="48" fillId="0" borderId="2" xfId="3" applyNumberFormat="1" applyFont="1" applyBorder="1" applyAlignment="1">
      <alignment vertical="center"/>
    </xf>
    <xf numFmtId="0" fontId="56" fillId="0" borderId="2" xfId="0" applyFont="1" applyBorder="1" applyAlignment="1">
      <alignment vertical="center" wrapText="1"/>
    </xf>
    <xf numFmtId="0" fontId="56" fillId="0" borderId="2" xfId="0" applyFont="1" applyBorder="1" applyAlignment="1">
      <alignment horizontal="center" vertical="center" wrapText="1"/>
    </xf>
    <xf numFmtId="0" fontId="56" fillId="4" borderId="2" xfId="0" applyFont="1" applyFill="1" applyBorder="1" applyAlignment="1">
      <alignment horizontal="center" vertical="center" wrapText="1"/>
    </xf>
    <xf numFmtId="0" fontId="56" fillId="10" borderId="2" xfId="0" applyFont="1" applyFill="1" applyBorder="1" applyAlignment="1">
      <alignment horizontal="center" vertical="center" wrapText="1"/>
    </xf>
    <xf numFmtId="164" fontId="57" fillId="0" borderId="2" xfId="0" applyNumberFormat="1" applyFont="1" applyBorder="1" applyAlignment="1">
      <alignment horizontal="center" vertical="center" wrapText="1"/>
    </xf>
    <xf numFmtId="164" fontId="58" fillId="0" borderId="2" xfId="0" applyNumberFormat="1" applyFont="1" applyBorder="1" applyAlignment="1">
      <alignment horizontal="center" vertical="center" wrapText="1"/>
    </xf>
    <xf numFmtId="0" fontId="33" fillId="0" borderId="2" xfId="0" applyFont="1" applyBorder="1"/>
    <xf numFmtId="165" fontId="33" fillId="0" borderId="0" xfId="0" applyNumberFormat="1" applyFont="1"/>
    <xf numFmtId="165" fontId="57" fillId="0" borderId="2" xfId="0" applyNumberFormat="1" applyFont="1" applyBorder="1" applyAlignment="1">
      <alignment horizontal="center" vertical="center" wrapText="1"/>
    </xf>
    <xf numFmtId="0" fontId="56" fillId="3" borderId="7" xfId="0" applyFont="1" applyFill="1" applyBorder="1" applyAlignment="1">
      <alignment horizontal="center" vertical="center" wrapText="1"/>
    </xf>
    <xf numFmtId="0" fontId="56" fillId="3" borderId="2" xfId="0" applyFont="1" applyFill="1" applyBorder="1" applyAlignment="1">
      <alignment horizontal="center" vertical="center" wrapText="1"/>
    </xf>
    <xf numFmtId="0" fontId="56" fillId="0" borderId="5" xfId="0" applyFont="1" applyBorder="1" applyAlignment="1">
      <alignment horizontal="center" vertical="center" wrapText="1"/>
    </xf>
    <xf numFmtId="164" fontId="59" fillId="0" borderId="2" xfId="0" applyNumberFormat="1" applyFont="1" applyBorder="1" applyAlignment="1">
      <alignment horizontal="center" vertical="center" wrapText="1"/>
    </xf>
    <xf numFmtId="164" fontId="59" fillId="0" borderId="5" xfId="0" applyNumberFormat="1" applyFont="1" applyBorder="1" applyAlignment="1">
      <alignment horizontal="center" vertical="center" wrapText="1"/>
    </xf>
    <xf numFmtId="164" fontId="56" fillId="0" borderId="5" xfId="0" applyNumberFormat="1" applyFont="1" applyBorder="1" applyAlignment="1">
      <alignment horizontal="center" vertical="center" wrapText="1"/>
    </xf>
    <xf numFmtId="164" fontId="60" fillId="0" borderId="5" xfId="0" applyNumberFormat="1" applyFont="1" applyBorder="1" applyAlignment="1">
      <alignment horizontal="center" vertical="center" wrapText="1"/>
    </xf>
    <xf numFmtId="0" fontId="29" fillId="0" borderId="2" xfId="0" applyFont="1" applyBorder="1" applyAlignment="1">
      <alignment horizontal="center" vertical="center"/>
    </xf>
    <xf numFmtId="0" fontId="29" fillId="0" borderId="13" xfId="0" applyFont="1" applyBorder="1" applyAlignment="1">
      <alignment horizontal="center" vertical="center"/>
    </xf>
    <xf numFmtId="0" fontId="29" fillId="0" borderId="7" xfId="0" applyFont="1" applyBorder="1"/>
    <xf numFmtId="44" fontId="29" fillId="0" borderId="2" xfId="2" applyFont="1" applyBorder="1" applyAlignment="1">
      <alignment horizontal="center" vertical="center"/>
    </xf>
    <xf numFmtId="167" fontId="29" fillId="0" borderId="2" xfId="0" applyNumberFormat="1" applyFont="1" applyBorder="1" applyAlignment="1">
      <alignment horizontal="center" vertical="center"/>
    </xf>
    <xf numFmtId="44" fontId="29" fillId="0" borderId="2" xfId="0" applyNumberFormat="1" applyFont="1" applyBorder="1" applyAlignment="1">
      <alignment horizontal="center" vertical="center"/>
    </xf>
    <xf numFmtId="44" fontId="29" fillId="0" borderId="0" xfId="2" applyFont="1" applyBorder="1" applyAlignment="1">
      <alignment horizontal="center" vertical="center"/>
    </xf>
    <xf numFmtId="167" fontId="29" fillId="0" borderId="0" xfId="0" applyNumberFormat="1" applyFont="1" applyAlignment="1">
      <alignment horizontal="center" vertical="center"/>
    </xf>
    <xf numFmtId="0" fontId="29" fillId="0" borderId="2" xfId="0" applyFont="1" applyBorder="1"/>
    <xf numFmtId="44" fontId="29" fillId="0" borderId="0" xfId="2" applyFont="1" applyAlignment="1">
      <alignment horizontal="center" vertical="center"/>
    </xf>
    <xf numFmtId="0" fontId="29" fillId="4" borderId="2" xfId="0" applyFont="1" applyFill="1" applyBorder="1" applyAlignment="1">
      <alignment vertical="center"/>
    </xf>
    <xf numFmtId="0" fontId="29" fillId="4" borderId="2" xfId="0" applyFont="1" applyFill="1" applyBorder="1" applyAlignment="1">
      <alignment horizontal="center" vertical="center"/>
    </xf>
    <xf numFmtId="0" fontId="29" fillId="4" borderId="3" xfId="0" applyFont="1" applyFill="1" applyBorder="1" applyAlignment="1">
      <alignment horizontal="center" vertical="center"/>
    </xf>
    <xf numFmtId="168" fontId="29" fillId="0" borderId="3" xfId="2" applyNumberFormat="1" applyFont="1" applyBorder="1" applyAlignment="1">
      <alignment vertical="center"/>
    </xf>
    <xf numFmtId="168" fontId="29" fillId="0" borderId="2" xfId="2" applyNumberFormat="1" applyFont="1" applyBorder="1" applyAlignment="1">
      <alignment vertical="center"/>
    </xf>
    <xf numFmtId="0" fontId="61" fillId="0" borderId="2" xfId="0" applyFont="1" applyBorder="1" applyAlignment="1">
      <alignment vertical="center"/>
    </xf>
    <xf numFmtId="0" fontId="61" fillId="0" borderId="2" xfId="0" applyFont="1" applyBorder="1" applyAlignment="1">
      <alignment horizontal="center" vertical="center"/>
    </xf>
    <xf numFmtId="168" fontId="61" fillId="0" borderId="2" xfId="2" applyNumberFormat="1" applyFont="1" applyBorder="1" applyAlignment="1">
      <alignment vertical="center"/>
    </xf>
    <xf numFmtId="44" fontId="29" fillId="0" borderId="0" xfId="0" applyNumberFormat="1" applyFont="1"/>
    <xf numFmtId="0" fontId="7" fillId="4" borderId="0" xfId="0" applyFont="1" applyFill="1" applyAlignment="1">
      <alignment vertical="center"/>
    </xf>
    <xf numFmtId="0" fontId="6" fillId="0" borderId="0" xfId="0" applyFont="1" applyAlignment="1">
      <alignment vertical="center"/>
    </xf>
    <xf numFmtId="0" fontId="19" fillId="0" borderId="0" xfId="0" applyFont="1" applyAlignment="1">
      <alignment vertical="center"/>
    </xf>
    <xf numFmtId="44" fontId="29" fillId="16" borderId="2" xfId="0" applyNumberFormat="1" applyFont="1" applyFill="1" applyBorder="1" applyAlignment="1">
      <alignment horizontal="center" vertical="center"/>
    </xf>
    <xf numFmtId="0" fontId="29" fillId="16" borderId="2" xfId="0" applyFont="1" applyFill="1" applyBorder="1" applyAlignment="1">
      <alignment horizontal="center"/>
    </xf>
    <xf numFmtId="44" fontId="29" fillId="16" borderId="2" xfId="2" applyFont="1" applyFill="1" applyBorder="1" applyAlignment="1">
      <alignment horizontal="center" vertical="center"/>
    </xf>
    <xf numFmtId="44" fontId="29" fillId="16" borderId="2" xfId="0" applyNumberFormat="1" applyFont="1" applyFill="1" applyBorder="1" applyAlignment="1">
      <alignment vertical="center"/>
    </xf>
    <xf numFmtId="0" fontId="62" fillId="0" borderId="0" xfId="0" applyFont="1" applyAlignment="1">
      <alignment horizontal="center"/>
    </xf>
    <xf numFmtId="44" fontId="29" fillId="16" borderId="2" xfId="0" applyNumberFormat="1" applyFont="1" applyFill="1" applyBorder="1"/>
    <xf numFmtId="0" fontId="29" fillId="0" borderId="2" xfId="0" applyFont="1" applyBorder="1" applyAlignment="1">
      <alignment horizontal="left" vertical="center" wrapText="1"/>
    </xf>
    <xf numFmtId="164" fontId="33" fillId="0" borderId="2" xfId="2" applyNumberFormat="1" applyFont="1" applyBorder="1" applyAlignment="1">
      <alignment horizontal="center" vertical="center"/>
    </xf>
    <xf numFmtId="169" fontId="29" fillId="16" borderId="2" xfId="0" applyNumberFormat="1" applyFont="1" applyFill="1" applyBorder="1" applyAlignment="1">
      <alignment horizontal="center" vertical="center"/>
    </xf>
    <xf numFmtId="0" fontId="16" fillId="0" borderId="2" xfId="0" applyFont="1" applyBorder="1" applyAlignment="1">
      <alignment horizontal="center" vertical="center"/>
    </xf>
    <xf numFmtId="0" fontId="16" fillId="4" borderId="2" xfId="0" applyFont="1" applyFill="1" applyBorder="1" applyAlignment="1">
      <alignment vertical="center"/>
    </xf>
    <xf numFmtId="0" fontId="16" fillId="4" borderId="2" xfId="0" applyFont="1" applyFill="1" applyBorder="1" applyAlignment="1">
      <alignment horizontal="center" vertical="center"/>
    </xf>
    <xf numFmtId="0" fontId="16" fillId="4" borderId="3" xfId="0" applyFont="1" applyFill="1" applyBorder="1" applyAlignment="1">
      <alignment horizontal="center" vertical="center"/>
    </xf>
    <xf numFmtId="168" fontId="16" fillId="0" borderId="3" xfId="2" applyNumberFormat="1" applyFont="1" applyBorder="1" applyAlignment="1">
      <alignment vertical="center"/>
    </xf>
    <xf numFmtId="44" fontId="16" fillId="0" borderId="2" xfId="2" applyFont="1" applyBorder="1" applyAlignment="1">
      <alignment horizontal="center" vertical="center"/>
    </xf>
    <xf numFmtId="168" fontId="16" fillId="0" borderId="2" xfId="2" applyNumberFormat="1" applyFont="1" applyBorder="1" applyAlignment="1">
      <alignment vertical="center"/>
    </xf>
    <xf numFmtId="0" fontId="16" fillId="0" borderId="2" xfId="0" applyFont="1" applyBorder="1"/>
    <xf numFmtId="0" fontId="16" fillId="0" borderId="2" xfId="0" applyFont="1" applyBorder="1" applyAlignment="1">
      <alignment vertical="center"/>
    </xf>
    <xf numFmtId="0" fontId="63" fillId="0" borderId="2" xfId="0" applyFont="1" applyBorder="1" applyAlignment="1">
      <alignment vertical="center"/>
    </xf>
    <xf numFmtId="0" fontId="63" fillId="0" borderId="2" xfId="0" applyFont="1" applyBorder="1" applyAlignment="1">
      <alignment horizontal="center" vertical="center"/>
    </xf>
    <xf numFmtId="168" fontId="63" fillId="0" borderId="2" xfId="2" applyNumberFormat="1" applyFont="1" applyBorder="1" applyAlignment="1">
      <alignment vertical="center"/>
    </xf>
    <xf numFmtId="44" fontId="16" fillId="16" borderId="2" xfId="0" applyNumberFormat="1" applyFont="1" applyFill="1" applyBorder="1" applyAlignment="1">
      <alignment vertical="center"/>
    </xf>
    <xf numFmtId="0" fontId="17" fillId="16" borderId="2" xfId="0" applyFont="1" applyFill="1" applyBorder="1" applyAlignment="1">
      <alignment horizontal="center" vertical="center"/>
    </xf>
    <xf numFmtId="0" fontId="17" fillId="16" borderId="2" xfId="0" applyFont="1" applyFill="1" applyBorder="1" applyAlignment="1">
      <alignment horizontal="center" vertical="center" wrapText="1"/>
    </xf>
    <xf numFmtId="0" fontId="17" fillId="16" borderId="2" xfId="0" applyFont="1" applyFill="1" applyBorder="1" applyAlignment="1">
      <alignment horizontal="center" wrapText="1"/>
    </xf>
    <xf numFmtId="164" fontId="17" fillId="0" borderId="3" xfId="0" applyNumberFormat="1" applyFont="1" applyBorder="1" applyAlignment="1">
      <alignment horizontal="left"/>
    </xf>
    <xf numFmtId="164" fontId="17" fillId="0" borderId="4" xfId="0" applyNumberFormat="1" applyFont="1" applyBorder="1" applyAlignment="1">
      <alignment horizontal="left"/>
    </xf>
    <xf numFmtId="164" fontId="17" fillId="0" borderId="5" xfId="0" applyNumberFormat="1" applyFont="1" applyBorder="1" applyAlignment="1">
      <alignment horizontal="left"/>
    </xf>
    <xf numFmtId="0" fontId="0" fillId="0" borderId="0" xfId="0" applyAlignment="1">
      <alignment horizontal="center" vertical="top"/>
    </xf>
    <xf numFmtId="0" fontId="0" fillId="0" borderId="0" xfId="0" applyAlignment="1">
      <alignment horizontal="center"/>
    </xf>
    <xf numFmtId="0" fontId="3" fillId="0" borderId="3" xfId="0" applyFont="1" applyBorder="1" applyAlignment="1">
      <alignment horizontal="center"/>
    </xf>
    <xf numFmtId="0" fontId="3" fillId="0" borderId="4" xfId="0" applyFont="1" applyBorder="1" applyAlignment="1">
      <alignment horizontal="center"/>
    </xf>
    <xf numFmtId="0" fontId="3" fillId="0" borderId="5" xfId="0" applyFont="1" applyBorder="1" applyAlignment="1">
      <alignment horizontal="center"/>
    </xf>
    <xf numFmtId="0" fontId="6" fillId="0" borderId="0" xfId="0" applyFont="1" applyAlignment="1">
      <alignment horizontal="center" vertical="center"/>
    </xf>
    <xf numFmtId="0" fontId="6" fillId="0" borderId="0" xfId="0" applyFont="1" applyAlignment="1">
      <alignment horizontal="center"/>
    </xf>
    <xf numFmtId="0" fontId="7" fillId="0" borderId="0" xfId="0" applyFont="1" applyAlignment="1">
      <alignment horizontal="center"/>
    </xf>
    <xf numFmtId="0" fontId="2" fillId="0" borderId="0" xfId="0" applyFont="1" applyAlignment="1">
      <alignment horizontal="center"/>
    </xf>
    <xf numFmtId="0" fontId="2" fillId="0" borderId="0" xfId="0" applyFont="1" applyAlignment="1">
      <alignment horizontal="center" vertical="center" wrapText="1"/>
    </xf>
    <xf numFmtId="0" fontId="3" fillId="0" borderId="2" xfId="0" applyFont="1" applyBorder="1" applyAlignment="1">
      <alignment horizontal="center" wrapText="1"/>
    </xf>
    <xf numFmtId="0" fontId="3" fillId="0" borderId="2" xfId="0" applyFont="1" applyBorder="1" applyAlignment="1">
      <alignment horizontal="center"/>
    </xf>
    <xf numFmtId="164" fontId="3" fillId="0" borderId="2" xfId="0" applyNumberFormat="1" applyFont="1" applyBorder="1" applyAlignment="1">
      <alignment horizontal="center"/>
    </xf>
    <xf numFmtId="164" fontId="3" fillId="0" borderId="6" xfId="0" applyNumberFormat="1" applyFont="1" applyBorder="1" applyAlignment="1">
      <alignment horizontal="center" wrapText="1"/>
    </xf>
    <xf numFmtId="164" fontId="3" fillId="0" borderId="7" xfId="0" applyNumberFormat="1" applyFont="1" applyBorder="1" applyAlignment="1">
      <alignment horizontal="center" wrapText="1"/>
    </xf>
    <xf numFmtId="9" fontId="3" fillId="0" borderId="2" xfId="3" applyFont="1" applyBorder="1" applyAlignment="1">
      <alignment horizontal="center" wrapText="1"/>
    </xf>
    <xf numFmtId="9" fontId="14" fillId="2" borderId="6" xfId="3" applyFont="1" applyFill="1" applyBorder="1" applyAlignment="1">
      <alignment horizontal="center" wrapText="1"/>
    </xf>
    <xf numFmtId="9" fontId="14" fillId="2" borderId="7" xfId="3" applyFont="1" applyFill="1" applyBorder="1" applyAlignment="1">
      <alignment horizontal="center" wrapText="1"/>
    </xf>
    <xf numFmtId="9" fontId="14" fillId="0" borderId="2" xfId="3" applyFont="1" applyBorder="1" applyAlignment="1">
      <alignment horizontal="center" vertical="center" wrapText="1"/>
    </xf>
    <xf numFmtId="0" fontId="0" fillId="0" borderId="2" xfId="0" applyBorder="1" applyAlignment="1">
      <alignment horizontal="center"/>
    </xf>
    <xf numFmtId="9" fontId="14" fillId="4" borderId="6" xfId="3" applyFont="1" applyFill="1" applyBorder="1" applyAlignment="1">
      <alignment horizontal="center" wrapText="1"/>
    </xf>
    <xf numFmtId="9" fontId="14" fillId="4" borderId="7" xfId="3" applyFont="1" applyFill="1" applyBorder="1" applyAlignment="1">
      <alignment horizontal="center" wrapText="1"/>
    </xf>
    <xf numFmtId="9" fontId="15" fillId="0" borderId="2" xfId="3" applyFont="1" applyBorder="1" applyAlignment="1">
      <alignment horizontal="center" vertical="center" wrapText="1"/>
    </xf>
    <xf numFmtId="0" fontId="0" fillId="0" borderId="8" xfId="0" applyBorder="1" applyAlignment="1">
      <alignment horizontal="center" wrapText="1"/>
    </xf>
    <xf numFmtId="0" fontId="0" fillId="0" borderId="9" xfId="0" applyBorder="1" applyAlignment="1">
      <alignment horizontal="center" wrapText="1"/>
    </xf>
    <xf numFmtId="0" fontId="0" fillId="0" borderId="10" xfId="0" applyBorder="1" applyAlignment="1">
      <alignment horizontal="center" wrapText="1"/>
    </xf>
    <xf numFmtId="0" fontId="0" fillId="0" borderId="11" xfId="0" applyBorder="1" applyAlignment="1">
      <alignment horizontal="center" wrapText="1"/>
    </xf>
    <xf numFmtId="0" fontId="0" fillId="0" borderId="1" xfId="0" applyBorder="1" applyAlignment="1">
      <alignment horizontal="center" wrapText="1"/>
    </xf>
    <xf numFmtId="0" fontId="0" fillId="0" borderId="12" xfId="0" applyBorder="1" applyAlignment="1">
      <alignment horizontal="center" wrapText="1"/>
    </xf>
    <xf numFmtId="10" fontId="26" fillId="4" borderId="6" xfId="3" applyNumberFormat="1" applyFont="1" applyFill="1" applyBorder="1" applyAlignment="1">
      <alignment horizontal="center"/>
    </xf>
    <xf numFmtId="10" fontId="26" fillId="4" borderId="7" xfId="3" applyNumberFormat="1" applyFont="1" applyFill="1" applyBorder="1" applyAlignment="1">
      <alignment horizontal="center"/>
    </xf>
    <xf numFmtId="10" fontId="13" fillId="0" borderId="6" xfId="3" applyNumberFormat="1" applyFont="1" applyBorder="1" applyAlignment="1">
      <alignment horizontal="center"/>
    </xf>
    <xf numFmtId="10" fontId="13" fillId="0" borderId="7" xfId="3" applyNumberFormat="1" applyFont="1" applyBorder="1" applyAlignment="1">
      <alignment horizontal="center"/>
    </xf>
    <xf numFmtId="0" fontId="2" fillId="0" borderId="1" xfId="0" applyFont="1" applyBorder="1" applyAlignment="1">
      <alignment horizontal="center" vertical="center" wrapText="1"/>
    </xf>
    <xf numFmtId="164" fontId="3" fillId="0" borderId="2" xfId="0" applyNumberFormat="1" applyFont="1" applyBorder="1" applyAlignment="1">
      <alignment horizontal="center" wrapText="1"/>
    </xf>
    <xf numFmtId="164" fontId="16" fillId="0" borderId="3" xfId="0" applyNumberFormat="1" applyFont="1" applyBorder="1" applyAlignment="1">
      <alignment horizontal="center"/>
    </xf>
    <xf numFmtId="164" fontId="16" fillId="0" borderId="4" xfId="0" applyNumberFormat="1" applyFont="1" applyBorder="1" applyAlignment="1">
      <alignment horizontal="center"/>
    </xf>
    <xf numFmtId="164" fontId="16" fillId="0" borderId="5" xfId="0" applyNumberFormat="1" applyFont="1" applyBorder="1" applyAlignment="1">
      <alignment horizontal="center"/>
    </xf>
    <xf numFmtId="0" fontId="29" fillId="0" borderId="2" xfId="0" applyFont="1" applyBorder="1" applyAlignment="1">
      <alignment horizontal="center" vertical="center"/>
    </xf>
    <xf numFmtId="0" fontId="29" fillId="0" borderId="2" xfId="0" applyFont="1" applyBorder="1" applyAlignment="1">
      <alignment horizontal="center" vertical="center" wrapText="1"/>
    </xf>
    <xf numFmtId="0" fontId="29" fillId="0" borderId="6" xfId="0" applyFont="1" applyBorder="1" applyAlignment="1">
      <alignment horizontal="center" vertical="center"/>
    </xf>
    <xf numFmtId="0" fontId="29" fillId="0" borderId="7" xfId="0" applyFont="1" applyBorder="1" applyAlignment="1">
      <alignment horizontal="center" vertical="center"/>
    </xf>
    <xf numFmtId="0" fontId="0" fillId="0" borderId="0" xfId="0" applyAlignment="1">
      <alignment horizontal="center" wrapText="1"/>
    </xf>
    <xf numFmtId="0" fontId="3" fillId="0" borderId="0" xfId="0" applyFont="1" applyAlignment="1">
      <alignment horizontal="center"/>
    </xf>
    <xf numFmtId="0" fontId="28" fillId="0" borderId="1" xfId="0" applyFont="1" applyBorder="1" applyAlignment="1">
      <alignment horizontal="center" vertical="center" wrapText="1"/>
    </xf>
    <xf numFmtId="0" fontId="40" fillId="0" borderId="3" xfId="0" applyFont="1" applyBorder="1" applyAlignment="1">
      <alignment horizontal="center" vertical="center" wrapText="1"/>
    </xf>
    <xf numFmtId="0" fontId="40" fillId="0" borderId="5" xfId="0" applyFont="1" applyBorder="1" applyAlignment="1">
      <alignment horizontal="center" vertical="center" wrapText="1"/>
    </xf>
    <xf numFmtId="0" fontId="33" fillId="0" borderId="3" xfId="0" applyFont="1" applyBorder="1" applyAlignment="1">
      <alignment horizontal="center" vertical="center"/>
    </xf>
    <xf numFmtId="0" fontId="33" fillId="0" borderId="4" xfId="0" applyFont="1" applyBorder="1" applyAlignment="1">
      <alignment horizontal="center" vertical="center"/>
    </xf>
    <xf numFmtId="0" fontId="33" fillId="0" borderId="0" xfId="0" applyFont="1" applyAlignment="1">
      <alignment horizontal="center"/>
    </xf>
    <xf numFmtId="164" fontId="33" fillId="0" borderId="6" xfId="0" applyNumberFormat="1" applyFont="1" applyBorder="1" applyAlignment="1">
      <alignment horizontal="center" vertical="center" wrapText="1"/>
    </xf>
    <xf numFmtId="164" fontId="33" fillId="0" borderId="7" xfId="0" applyNumberFormat="1" applyFont="1" applyBorder="1" applyAlignment="1">
      <alignment horizontal="center" vertical="center" wrapText="1"/>
    </xf>
    <xf numFmtId="164" fontId="33" fillId="0" borderId="6" xfId="0" applyNumberFormat="1" applyFont="1" applyBorder="1" applyAlignment="1">
      <alignment horizontal="center" vertical="center"/>
    </xf>
    <xf numFmtId="164" fontId="33" fillId="0" borderId="7" xfId="0" applyNumberFormat="1" applyFont="1" applyBorder="1" applyAlignment="1">
      <alignment horizontal="center" vertical="center"/>
    </xf>
    <xf numFmtId="0" fontId="33" fillId="0" borderId="2" xfId="0" applyFont="1" applyBorder="1" applyAlignment="1">
      <alignment horizontal="center" vertical="center"/>
    </xf>
    <xf numFmtId="0" fontId="33" fillId="0" borderId="2" xfId="0" applyFont="1" applyBorder="1" applyAlignment="1">
      <alignment horizontal="center" vertical="center" wrapText="1"/>
    </xf>
    <xf numFmtId="0" fontId="28" fillId="0" borderId="0" xfId="0" applyFont="1" applyAlignment="1">
      <alignment horizontal="center" vertical="center" wrapText="1"/>
    </xf>
    <xf numFmtId="0" fontId="33" fillId="0" borderId="6" xfId="0" applyFont="1" applyBorder="1" applyAlignment="1">
      <alignment horizontal="center" vertical="center"/>
    </xf>
    <xf numFmtId="0" fontId="33" fillId="0" borderId="7" xfId="0" applyFont="1" applyBorder="1" applyAlignment="1">
      <alignment horizontal="center" vertical="center"/>
    </xf>
    <xf numFmtId="0" fontId="34" fillId="0" borderId="2" xfId="0" applyFont="1" applyBorder="1" applyAlignment="1">
      <alignment horizontal="center" vertical="center" wrapText="1"/>
    </xf>
    <xf numFmtId="0" fontId="34" fillId="0" borderId="6" xfId="0" applyFont="1" applyBorder="1" applyAlignment="1">
      <alignment horizontal="center" vertical="center" wrapText="1"/>
    </xf>
    <xf numFmtId="0" fontId="34" fillId="0" borderId="7" xfId="0" applyFont="1" applyBorder="1" applyAlignment="1">
      <alignment horizontal="center" vertical="center" wrapText="1"/>
    </xf>
    <xf numFmtId="164" fontId="34" fillId="0" borderId="6" xfId="0" applyNumberFormat="1" applyFont="1" applyBorder="1" applyAlignment="1">
      <alignment horizontal="center" vertical="center" wrapText="1"/>
    </xf>
    <xf numFmtId="164" fontId="34" fillId="0" borderId="7" xfId="0" applyNumberFormat="1" applyFont="1" applyBorder="1" applyAlignment="1">
      <alignment horizontal="center" vertical="center" wrapText="1"/>
    </xf>
    <xf numFmtId="0" fontId="56" fillId="0" borderId="3" xfId="0" applyFont="1" applyBorder="1" applyAlignment="1">
      <alignment horizontal="center" vertical="center" wrapText="1"/>
    </xf>
    <xf numFmtId="0" fontId="56" fillId="0" borderId="5" xfId="0" applyFont="1" applyBorder="1" applyAlignment="1">
      <alignment horizontal="center" vertical="center" wrapText="1"/>
    </xf>
    <xf numFmtId="0" fontId="17" fillId="0" borderId="3" xfId="0" applyFont="1" applyBorder="1" applyAlignment="1">
      <alignment horizontal="center" vertical="center"/>
    </xf>
    <xf numFmtId="0" fontId="17" fillId="0" borderId="4" xfId="0" applyFont="1" applyBorder="1" applyAlignment="1">
      <alignment horizontal="center" vertical="center"/>
    </xf>
    <xf numFmtId="0" fontId="49" fillId="0" borderId="3" xfId="0" applyFont="1" applyBorder="1" applyAlignment="1">
      <alignment horizontal="center" vertical="center" wrapText="1"/>
    </xf>
    <xf numFmtId="0" fontId="49" fillId="0" borderId="5" xfId="0" applyFont="1" applyBorder="1" applyAlignment="1">
      <alignment horizontal="center" vertical="center" wrapText="1"/>
    </xf>
    <xf numFmtId="0" fontId="36" fillId="0" borderId="3" xfId="0" applyFont="1" applyBorder="1" applyAlignment="1">
      <alignment horizontal="center" vertical="center"/>
    </xf>
    <xf numFmtId="0" fontId="36" fillId="0" borderId="4" xfId="0" applyFont="1" applyBorder="1" applyAlignment="1">
      <alignment horizontal="center" vertical="center"/>
    </xf>
    <xf numFmtId="0" fontId="37" fillId="0" borderId="0" xfId="0" applyFont="1" applyAlignment="1">
      <alignment horizontal="center"/>
    </xf>
    <xf numFmtId="164" fontId="36" fillId="0" borderId="6" xfId="0" applyNumberFormat="1" applyFont="1" applyBorder="1" applyAlignment="1">
      <alignment horizontal="center" vertical="center" wrapText="1"/>
    </xf>
    <xf numFmtId="164" fontId="36" fillId="0" borderId="7" xfId="0" applyNumberFormat="1" applyFont="1" applyBorder="1" applyAlignment="1">
      <alignment horizontal="center" vertical="center" wrapText="1"/>
    </xf>
    <xf numFmtId="164" fontId="36" fillId="0" borderId="6" xfId="0" applyNumberFormat="1" applyFont="1" applyBorder="1" applyAlignment="1">
      <alignment horizontal="center" vertical="center"/>
    </xf>
    <xf numFmtId="164" fontId="36" fillId="0" borderId="7" xfId="0" applyNumberFormat="1" applyFont="1" applyBorder="1" applyAlignment="1">
      <alignment horizontal="center" vertical="center"/>
    </xf>
    <xf numFmtId="0" fontId="36" fillId="0" borderId="2" xfId="0" applyFont="1" applyBorder="1" applyAlignment="1">
      <alignment horizontal="center" vertical="center"/>
    </xf>
    <xf numFmtId="0" fontId="36" fillId="0" borderId="2" xfId="0" applyFont="1" applyBorder="1" applyAlignment="1">
      <alignment horizontal="center" vertical="center" wrapText="1"/>
    </xf>
    <xf numFmtId="0" fontId="36" fillId="0" borderId="6" xfId="0" applyFont="1" applyBorder="1" applyAlignment="1">
      <alignment horizontal="center" vertical="center"/>
    </xf>
    <xf numFmtId="0" fontId="36" fillId="0" borderId="7" xfId="0" applyFont="1" applyBorder="1" applyAlignment="1">
      <alignment horizontal="center" vertical="center"/>
    </xf>
    <xf numFmtId="0" fontId="29" fillId="16" borderId="3" xfId="0" applyFont="1" applyFill="1" applyBorder="1" applyAlignment="1">
      <alignment horizontal="center" vertical="center"/>
    </xf>
    <xf numFmtId="0" fontId="29" fillId="16" borderId="4" xfId="0" applyFont="1" applyFill="1" applyBorder="1" applyAlignment="1">
      <alignment horizontal="center" vertical="center"/>
    </xf>
    <xf numFmtId="0" fontId="29" fillId="0" borderId="0" xfId="0" applyFont="1" applyAlignment="1">
      <alignment horizontal="center"/>
    </xf>
    <xf numFmtId="0" fontId="29" fillId="0" borderId="3" xfId="0" applyFont="1" applyBorder="1" applyAlignment="1">
      <alignment horizontal="center" vertical="center"/>
    </xf>
    <xf numFmtId="0" fontId="29" fillId="0" borderId="5" xfId="0" applyFont="1" applyBorder="1" applyAlignment="1">
      <alignment horizontal="center" vertical="center"/>
    </xf>
    <xf numFmtId="0" fontId="29" fillId="0" borderId="4" xfId="0" applyFont="1" applyBorder="1" applyAlignment="1">
      <alignment horizontal="center" vertical="center"/>
    </xf>
    <xf numFmtId="0" fontId="29" fillId="0" borderId="8" xfId="0" applyFont="1" applyBorder="1" applyAlignment="1">
      <alignment horizontal="center" vertical="center"/>
    </xf>
    <xf numFmtId="0" fontId="29" fillId="0" borderId="10" xfId="0" applyFont="1" applyBorder="1" applyAlignment="1">
      <alignment horizontal="center" vertical="center"/>
    </xf>
    <xf numFmtId="0" fontId="29" fillId="0" borderId="11" xfId="0" applyFont="1" applyBorder="1" applyAlignment="1">
      <alignment horizontal="center" vertical="center"/>
    </xf>
    <xf numFmtId="0" fontId="29" fillId="0" borderId="12" xfId="0" applyFont="1" applyBorder="1" applyAlignment="1">
      <alignment horizontal="center" vertical="center"/>
    </xf>
    <xf numFmtId="0" fontId="29" fillId="0" borderId="2" xfId="0" applyFont="1" applyBorder="1" applyAlignment="1">
      <alignment horizontal="center"/>
    </xf>
    <xf numFmtId="0" fontId="29" fillId="16" borderId="5" xfId="0" applyFont="1" applyFill="1" applyBorder="1" applyAlignment="1">
      <alignment horizontal="center" vertical="center"/>
    </xf>
    <xf numFmtId="0" fontId="31" fillId="0" borderId="3" xfId="0" applyFont="1" applyBorder="1" applyAlignment="1">
      <alignment horizontal="center" vertical="center"/>
    </xf>
    <xf numFmtId="0" fontId="31" fillId="0" borderId="4" xfId="0" applyFont="1" applyBorder="1" applyAlignment="1">
      <alignment horizontal="center" vertical="center"/>
    </xf>
    <xf numFmtId="0" fontId="31" fillId="0" borderId="5" xfId="0" applyFont="1" applyBorder="1" applyAlignment="1">
      <alignment horizontal="center" vertical="center"/>
    </xf>
    <xf numFmtId="0" fontId="31" fillId="0" borderId="0" xfId="0" applyFont="1" applyAlignment="1">
      <alignment horizontal="center"/>
    </xf>
    <xf numFmtId="0" fontId="31" fillId="0" borderId="3" xfId="0" applyFont="1" applyBorder="1" applyAlignment="1">
      <alignment horizontal="center"/>
    </xf>
    <xf numFmtId="0" fontId="31" fillId="0" borderId="4" xfId="0" applyFont="1" applyBorder="1" applyAlignment="1">
      <alignment horizontal="center"/>
    </xf>
    <xf numFmtId="0" fontId="31" fillId="0" borderId="5" xfId="0" applyFont="1" applyBorder="1" applyAlignment="1">
      <alignment horizontal="center"/>
    </xf>
    <xf numFmtId="0" fontId="29" fillId="0" borderId="7" xfId="0" applyFont="1" applyBorder="1" applyAlignment="1">
      <alignment horizontal="center"/>
    </xf>
    <xf numFmtId="0" fontId="29" fillId="0" borderId="7" xfId="0" applyFont="1" applyBorder="1" applyAlignment="1">
      <alignment horizontal="center" vertical="center" wrapText="1"/>
    </xf>
    <xf numFmtId="0" fontId="29" fillId="16" borderId="3" xfId="0" applyFont="1" applyFill="1" applyBorder="1" applyAlignment="1">
      <alignment horizontal="center"/>
    </xf>
    <xf numFmtId="0" fontId="29" fillId="16" borderId="4" xfId="0" applyFont="1" applyFill="1" applyBorder="1" applyAlignment="1">
      <alignment horizontal="center"/>
    </xf>
    <xf numFmtId="0" fontId="29" fillId="0" borderId="6" xfId="0" applyFont="1" applyBorder="1" applyAlignment="1">
      <alignment horizontal="center" vertical="center" wrapText="1"/>
    </xf>
    <xf numFmtId="0" fontId="62" fillId="0" borderId="0" xfId="0" applyFont="1" applyAlignment="1">
      <alignment horizontal="center"/>
    </xf>
    <xf numFmtId="0" fontId="29" fillId="0" borderId="3" xfId="0" applyFont="1" applyBorder="1" applyAlignment="1">
      <alignment horizontal="center"/>
    </xf>
    <xf numFmtId="0" fontId="29" fillId="0" borderId="4" xfId="0" applyFont="1" applyBorder="1" applyAlignment="1">
      <alignment horizontal="center"/>
    </xf>
    <xf numFmtId="0" fontId="29" fillId="0" borderId="5" xfId="0" applyFont="1" applyBorder="1" applyAlignment="1">
      <alignment horizontal="center"/>
    </xf>
    <xf numFmtId="0" fontId="16" fillId="16" borderId="3" xfId="0" applyFont="1" applyFill="1" applyBorder="1" applyAlignment="1">
      <alignment horizontal="center" vertical="center"/>
    </xf>
    <xf numFmtId="0" fontId="16" fillId="16" borderId="4" xfId="0" applyFont="1" applyFill="1" applyBorder="1" applyAlignment="1">
      <alignment horizontal="center" vertical="center"/>
    </xf>
    <xf numFmtId="0" fontId="16" fillId="16" borderId="5" xfId="0" applyFont="1" applyFill="1" applyBorder="1" applyAlignment="1">
      <alignment horizontal="center" vertical="center"/>
    </xf>
  </cellXfs>
  <cellStyles count="4">
    <cellStyle name="Comma" xfId="1" builtinId="3"/>
    <cellStyle name="Currency" xfId="2" builtinId="4"/>
    <cellStyle name="Normal" xfId="0" builtinId="0"/>
    <cellStyle name="Percent"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en-ID"/>
              <a:t>Osan</a:t>
            </a:r>
            <a:r>
              <a:rPr lang="en-ID" baseline="0"/>
              <a:t> Salario Vensimento         $ 67,390</a:t>
            </a:r>
            <a:endParaRPr lang="en-ID"/>
          </a:p>
        </c:rich>
      </c:tx>
      <c:layout>
        <c:manualLayout>
          <c:xMode val="edge"/>
          <c:yMode val="edge"/>
          <c:x val="0.168720417479441"/>
          <c:y val="2.3148148148148147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en-US"/>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A4B2-40CE-8FC6-10F7241B3B64}"/>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A4B2-40CE-8FC6-10F7241B3B64}"/>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n-US"/>
              </a:p>
            </c:txPr>
            <c:dLblPos val="ctr"/>
            <c:showLegendKey val="0"/>
            <c:showVal val="0"/>
            <c:showCatName val="0"/>
            <c:showSerName val="0"/>
            <c:showPercent val="1"/>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Sheet2!$T$12:$U$12</c:f>
              <c:strCache>
                <c:ptCount val="2"/>
                <c:pt idx="0">
                  <c:v>Alokasaun Orsamento ba SV </c:v>
                </c:pt>
                <c:pt idx="1">
                  <c:v>Ezekusaun QI</c:v>
                </c:pt>
              </c:strCache>
            </c:strRef>
          </c:cat>
          <c:val>
            <c:numRef>
              <c:f>Sheet2!$T$13:$U$13</c:f>
              <c:numCache>
                <c:formatCode>_("$"* #,##0.00_);_("$"* \(#,##0.00\);_("$"* "-"??_);_(@_)</c:formatCode>
                <c:ptCount val="2"/>
                <c:pt idx="0" formatCode="&quot;$&quot;#,##0.00">
                  <c:v>67390</c:v>
                </c:pt>
                <c:pt idx="1">
                  <c:v>13798.5</c:v>
                </c:pt>
              </c:numCache>
            </c:numRef>
          </c:val>
          <c:extLst>
            <c:ext xmlns:c16="http://schemas.microsoft.com/office/drawing/2014/chart" uri="{C3380CC4-5D6E-409C-BE32-E72D297353CC}">
              <c16:uniqueId val="{00000004-A4B2-40CE-8FC6-10F7241B3B64}"/>
            </c:ext>
          </c:extLst>
        </c:ser>
        <c:dLbls>
          <c:dLblPos val="ctr"/>
          <c:showLegendKey val="0"/>
          <c:showVal val="0"/>
          <c:showCatName val="0"/>
          <c:showSerName val="0"/>
          <c:showPercent val="1"/>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en-ID"/>
              <a:t>Osan</a:t>
            </a:r>
            <a:r>
              <a:rPr lang="en-ID" baseline="0"/>
              <a:t> Salario Vensimento         $ 67,390</a:t>
            </a:r>
            <a:endParaRPr lang="en-ID"/>
          </a:p>
        </c:rich>
      </c:tx>
      <c:layout>
        <c:manualLayout>
          <c:xMode val="edge"/>
          <c:yMode val="edge"/>
          <c:x val="0.168720417479441"/>
          <c:y val="2.3148148148148147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en-US"/>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5E26-4349-9E15-8960F5C6A3C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5E26-4349-9E15-8960F5C6A3C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n-US"/>
              </a:p>
            </c:txPr>
            <c:dLblPos val="ctr"/>
            <c:showLegendKey val="0"/>
            <c:showVal val="0"/>
            <c:showCatName val="0"/>
            <c:showSerName val="0"/>
            <c:showPercent val="1"/>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Sheet3!$T$12:$U$12</c:f>
              <c:strCache>
                <c:ptCount val="2"/>
                <c:pt idx="0">
                  <c:v>Alokasaun Orsamento ba SV </c:v>
                </c:pt>
                <c:pt idx="1">
                  <c:v>Ezekusaun QI</c:v>
                </c:pt>
              </c:strCache>
            </c:strRef>
          </c:cat>
          <c:val>
            <c:numRef>
              <c:f>Sheet3!$T$13:$U$13</c:f>
              <c:numCache>
                <c:formatCode>_("$"* #,##0.00_);_("$"* \(#,##0.00\);_("$"* "-"??_);_(@_)</c:formatCode>
                <c:ptCount val="2"/>
                <c:pt idx="0" formatCode="&quot;$&quot;#,##0.00">
                  <c:v>67390</c:v>
                </c:pt>
                <c:pt idx="1">
                  <c:v>13798.5</c:v>
                </c:pt>
              </c:numCache>
            </c:numRef>
          </c:val>
          <c:extLst>
            <c:ext xmlns:c16="http://schemas.microsoft.com/office/drawing/2014/chart" uri="{C3380CC4-5D6E-409C-BE32-E72D297353CC}">
              <c16:uniqueId val="{00000004-5E26-4349-9E15-8960F5C6A3CC}"/>
            </c:ext>
          </c:extLst>
        </c:ser>
        <c:dLbls>
          <c:dLblPos val="ctr"/>
          <c:showLegendKey val="0"/>
          <c:showVal val="0"/>
          <c:showCatName val="0"/>
          <c:showSerName val="0"/>
          <c:showPercent val="1"/>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en-ID"/>
              <a:t>Percentagen Assesu Bemo'os Kada Posto</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en-US"/>
        </a:p>
      </c:txPr>
    </c:title>
    <c:autoTitleDeleted val="0"/>
    <c:plotArea>
      <c:layout/>
      <c:barChart>
        <c:barDir val="col"/>
        <c:grouping val="clustered"/>
        <c:varyColors val="0"/>
        <c:ser>
          <c:idx val="0"/>
          <c:order val="0"/>
          <c:tx>
            <c:strRef>
              <c:f>'Sheet1 (3)'!$E$54</c:f>
              <c:strCache>
                <c:ptCount val="1"/>
                <c:pt idx="0">
                  <c:v> Uma Kain Assesu Ba Be'e mo''os (%)</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'Sheet1 (3)'!$D$55:$D$58</c:f>
              <c:strCache>
                <c:ptCount val="4"/>
                <c:pt idx="0">
                  <c:v>Ainaro</c:v>
                </c:pt>
                <c:pt idx="1">
                  <c:v>Hato-Udo</c:v>
                </c:pt>
                <c:pt idx="2">
                  <c:v>Hato-Builico</c:v>
                </c:pt>
                <c:pt idx="3">
                  <c:v>Maubisse</c:v>
                </c:pt>
              </c:strCache>
            </c:strRef>
          </c:cat>
          <c:val>
            <c:numRef>
              <c:f>'Sheet1 (3)'!$E$55:$E$58</c:f>
              <c:numCache>
                <c:formatCode>0.00%</c:formatCode>
                <c:ptCount val="4"/>
                <c:pt idx="0">
                  <c:v>0.97512864493996565</c:v>
                </c:pt>
                <c:pt idx="1">
                  <c:v>0.66847498493068114</c:v>
                </c:pt>
                <c:pt idx="2">
                  <c:v>0.51515151515151514</c:v>
                </c:pt>
                <c:pt idx="3">
                  <c:v>0.7098986749805144</c:v>
                </c:pt>
              </c:numCache>
            </c:numRef>
          </c:val>
          <c:extLst>
            <c:ext xmlns:c16="http://schemas.microsoft.com/office/drawing/2014/chart" uri="{C3380CC4-5D6E-409C-BE32-E72D297353CC}">
              <c16:uniqueId val="{00000000-7515-4CC5-BB58-C337348B02BE}"/>
            </c:ext>
          </c:extLst>
        </c:ser>
        <c:ser>
          <c:idx val="1"/>
          <c:order val="1"/>
          <c:tx>
            <c:strRef>
              <c:f>'Sheet1 (3)'!$F$54</c:f>
              <c:strCache>
                <c:ptCount val="1"/>
                <c:pt idx="0">
                  <c:v> Uma Kain seidauk Assesu Ba Be'e mo''os (%)</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cat>
            <c:strRef>
              <c:f>'Sheet1 (3)'!$D$55:$D$58</c:f>
              <c:strCache>
                <c:ptCount val="4"/>
                <c:pt idx="0">
                  <c:v>Ainaro</c:v>
                </c:pt>
                <c:pt idx="1">
                  <c:v>Hato-Udo</c:v>
                </c:pt>
                <c:pt idx="2">
                  <c:v>Hato-Builico</c:v>
                </c:pt>
                <c:pt idx="3">
                  <c:v>Maubisse</c:v>
                </c:pt>
              </c:strCache>
            </c:strRef>
          </c:cat>
          <c:val>
            <c:numRef>
              <c:f>'Sheet1 (3)'!$F$55:$F$58</c:f>
              <c:numCache>
                <c:formatCode>0.00%</c:formatCode>
                <c:ptCount val="4"/>
                <c:pt idx="0">
                  <c:v>2.4871355060034305E-2</c:v>
                </c:pt>
                <c:pt idx="1">
                  <c:v>0.33152501506931886</c:v>
                </c:pt>
                <c:pt idx="2">
                  <c:v>0.48484848484848486</c:v>
                </c:pt>
                <c:pt idx="3">
                  <c:v>0.2901013250194856</c:v>
                </c:pt>
              </c:numCache>
            </c:numRef>
          </c:val>
          <c:extLst>
            <c:ext xmlns:c16="http://schemas.microsoft.com/office/drawing/2014/chart" uri="{C3380CC4-5D6E-409C-BE32-E72D297353CC}">
              <c16:uniqueId val="{00000001-7515-4CC5-BB58-C337348B02BE}"/>
            </c:ext>
          </c:extLst>
        </c:ser>
        <c:dLbls>
          <c:dLblPos val="inEnd"/>
          <c:showLegendKey val="0"/>
          <c:showVal val="1"/>
          <c:showCatName val="0"/>
          <c:showSerName val="0"/>
          <c:showPercent val="0"/>
          <c:showBubbleSize val="0"/>
        </c:dLbls>
        <c:gapWidth val="267"/>
        <c:overlap val="-43"/>
        <c:axId val="321765679"/>
        <c:axId val="558402223"/>
      </c:barChart>
      <c:catAx>
        <c:axId val="321765679"/>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en-US"/>
          </a:p>
        </c:txPr>
        <c:crossAx val="558402223"/>
        <c:crosses val="autoZero"/>
        <c:auto val="1"/>
        <c:lblAlgn val="ctr"/>
        <c:lblOffset val="100"/>
        <c:noMultiLvlLbl val="0"/>
      </c:catAx>
      <c:valAx>
        <c:axId val="558402223"/>
        <c:scaling>
          <c:orientation val="minMax"/>
        </c:scaling>
        <c:delete val="0"/>
        <c:axPos val="l"/>
        <c:majorGridlines>
          <c:spPr>
            <a:ln w="9525" cap="flat" cmpd="sng" algn="ctr">
              <a:solidFill>
                <a:schemeClr val="dk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n-US"/>
          </a:p>
        </c:txPr>
        <c:crossAx val="321765679"/>
        <c:crosses val="autoZero"/>
        <c:crossBetween val="between"/>
      </c:valAx>
      <c:spPr>
        <a:pattFill prst="ltDnDiag">
          <a:fgClr>
            <a:schemeClr val="dk1">
              <a:lumMod val="15000"/>
              <a:lumOff val="85000"/>
            </a:schemeClr>
          </a:fgClr>
          <a:bgClr>
            <a:schemeClr val="lt1"/>
          </a:bgClr>
        </a:patt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600" b="1" i="0" u="none" strike="noStrike" kern="1200" cap="all" baseline="0">
              <a:solidFill>
                <a:schemeClr val="tx1">
                  <a:lumMod val="65000"/>
                  <a:lumOff val="35000"/>
                </a:schemeClr>
              </a:solidFill>
              <a:latin typeface="+mn-lt"/>
              <a:ea typeface="+mn-ea"/>
              <a:cs typeface="+mn-cs"/>
            </a:defRPr>
          </a:pPr>
          <a:endParaRPr lang="en-US"/>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tx>
            <c:strRef>
              <c:f>'Sheet1 (3)'!$H$55</c:f>
              <c:strCache>
                <c:ptCount val="1"/>
                <c:pt idx="0">
                  <c:v>Ainaro</c:v>
                </c:pt>
              </c:strCache>
            </c:strRef>
          </c:tx>
          <c:dPt>
            <c:idx val="0"/>
            <c:bubble3D val="0"/>
            <c:spPr>
              <a:solidFill>
                <a:schemeClr val="accent1"/>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1-D497-4AE7-9BF4-FED7757C20D8}"/>
              </c:ext>
            </c:extLst>
          </c:dPt>
          <c:dPt>
            <c:idx val="1"/>
            <c:bubble3D val="0"/>
            <c:spPr>
              <a:solidFill>
                <a:schemeClr val="accent2"/>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3-D497-4AE7-9BF4-FED7757C20D8}"/>
              </c:ext>
            </c:extLst>
          </c:dPt>
          <c:dLbls>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endParaRPr lang="en-US"/>
                </a:p>
              </c:txPr>
              <c:dLblPos val="outEnd"/>
              <c:showLegendKey val="0"/>
              <c:showVal val="0"/>
              <c:showCatName val="1"/>
              <c:showSerName val="0"/>
              <c:showPercent val="1"/>
              <c:showBubbleSize val="0"/>
              <c:extLst>
                <c:ext xmlns:c16="http://schemas.microsoft.com/office/drawing/2014/chart" uri="{C3380CC4-5D6E-409C-BE32-E72D297353CC}">
                  <c16:uniqueId val="{00000001-D497-4AE7-9BF4-FED7757C20D8}"/>
                </c:ext>
              </c:extLst>
            </c:dLbl>
            <c:dLbl>
              <c:idx val="1"/>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2"/>
                      </a:solidFill>
                      <a:latin typeface="+mn-lt"/>
                      <a:ea typeface="+mn-ea"/>
                      <a:cs typeface="+mn-cs"/>
                    </a:defRPr>
                  </a:pPr>
                  <a:endParaRPr lang="en-US"/>
                </a:p>
              </c:txPr>
              <c:dLblPos val="outEnd"/>
              <c:showLegendKey val="0"/>
              <c:showVal val="0"/>
              <c:showCatName val="1"/>
              <c:showSerName val="0"/>
              <c:showPercent val="1"/>
              <c:showBubbleSize val="0"/>
              <c:extLst>
                <c:ext xmlns:c16="http://schemas.microsoft.com/office/drawing/2014/chart" uri="{C3380CC4-5D6E-409C-BE32-E72D297353CC}">
                  <c16:uniqueId val="{00000003-D497-4AE7-9BF4-FED7757C20D8}"/>
                </c:ext>
              </c:extLst>
            </c:dLbl>
            <c:spPr>
              <a:noFill/>
              <a:ln>
                <a:noFill/>
              </a:ln>
              <a:effectLst/>
            </c:spPr>
            <c:dLblPos val="outEnd"/>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'Sheet1 (3)'!$I$54:$J$54</c:f>
              <c:strCache>
                <c:ptCount val="2"/>
                <c:pt idx="0">
                  <c:v> Uma Kain Assesu Ba Be'e mo''os (%)</c:v>
                </c:pt>
                <c:pt idx="1">
                  <c:v> Uma Kain seidauk Assesu Ba Be'e mo''os (%)</c:v>
                </c:pt>
              </c:strCache>
            </c:strRef>
          </c:cat>
          <c:val>
            <c:numRef>
              <c:f>'Sheet1 (3)'!$I$55:$J$55</c:f>
              <c:numCache>
                <c:formatCode>0.00%</c:formatCode>
                <c:ptCount val="2"/>
                <c:pt idx="0">
                  <c:v>0.72818728250553622</c:v>
                </c:pt>
                <c:pt idx="1">
                  <c:v>0.27181271749446378</c:v>
                </c:pt>
              </c:numCache>
            </c:numRef>
          </c:val>
          <c:extLst>
            <c:ext xmlns:c16="http://schemas.microsoft.com/office/drawing/2014/chart" uri="{C3380CC4-5D6E-409C-BE32-E72D297353CC}">
              <c16:uniqueId val="{00000004-D497-4AE7-9BF4-FED7757C20D8}"/>
            </c:ext>
          </c:extLst>
        </c:ser>
        <c:dLbls>
          <c:dLblPos val="outEnd"/>
          <c:showLegendKey val="0"/>
          <c:showVal val="0"/>
          <c:showCatName val="1"/>
          <c:showSerName val="0"/>
          <c:showPercent val="0"/>
          <c:showBubbleSize val="0"/>
          <c:showLeaderLines val="1"/>
        </c:dLbls>
      </c:pie3D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600" b="1" i="0" u="none" strike="noStrike" kern="1200" cap="all" baseline="0">
              <a:solidFill>
                <a:schemeClr val="tx1">
                  <a:lumMod val="65000"/>
                  <a:lumOff val="35000"/>
                </a:schemeClr>
              </a:solidFill>
              <a:latin typeface="+mn-lt"/>
              <a:ea typeface="+mn-ea"/>
              <a:cs typeface="+mn-cs"/>
            </a:defRPr>
          </a:pPr>
          <a:endParaRPr lang="en-US"/>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3-FB39-4C1C-8AA3-BD68DAB60BC6}"/>
              </c:ext>
            </c:extLst>
          </c:dPt>
          <c:dPt>
            <c:idx val="1"/>
            <c:bubble3D val="0"/>
            <c:spPr>
              <a:solidFill>
                <a:schemeClr val="accent2"/>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4-FB39-4C1C-8AA3-BD68DAB60BC6}"/>
              </c:ext>
            </c:extLst>
          </c:dPt>
          <c:dPt>
            <c:idx val="2"/>
            <c:bubble3D val="0"/>
            <c:spPr>
              <a:solidFill>
                <a:schemeClr val="accent3"/>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5-FB39-4C1C-8AA3-BD68DAB60BC6}"/>
              </c:ext>
            </c:extLst>
          </c:dPt>
          <c:dPt>
            <c:idx val="3"/>
            <c:bubble3D val="0"/>
            <c:spPr>
              <a:solidFill>
                <a:schemeClr val="accent4"/>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6-FB39-4C1C-8AA3-BD68DAB60BC6}"/>
              </c:ext>
            </c:extLst>
          </c:dPt>
          <c:dPt>
            <c:idx val="4"/>
            <c:bubble3D val="0"/>
            <c:spPr>
              <a:solidFill>
                <a:schemeClr val="accent5"/>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7-FB39-4C1C-8AA3-BD68DAB60BC6}"/>
              </c:ext>
            </c:extLst>
          </c:dPt>
          <c:dPt>
            <c:idx val="5"/>
            <c:bubble3D val="0"/>
            <c:spPr>
              <a:solidFill>
                <a:schemeClr val="accent6"/>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8-FB39-4C1C-8AA3-BD68DAB60BC6}"/>
              </c:ext>
            </c:extLst>
          </c:dPt>
          <c:dPt>
            <c:idx val="6"/>
            <c:bubble3D val="0"/>
            <c:spPr>
              <a:solidFill>
                <a:schemeClr val="accent1">
                  <a:lumMod val="60000"/>
                </a:schemeClr>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9-FB39-4C1C-8AA3-BD68DAB60BC6}"/>
              </c:ext>
            </c:extLst>
          </c:dPt>
          <c:dPt>
            <c:idx val="7"/>
            <c:bubble3D val="0"/>
            <c:spPr>
              <a:solidFill>
                <a:schemeClr val="accent2">
                  <a:lumMod val="60000"/>
                </a:schemeClr>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A-FB39-4C1C-8AA3-BD68DAB60BC6}"/>
              </c:ext>
            </c:extLst>
          </c:dPt>
          <c:dPt>
            <c:idx val="8"/>
            <c:bubble3D val="0"/>
            <c:spPr>
              <a:solidFill>
                <a:schemeClr val="accent3">
                  <a:lumMod val="60000"/>
                </a:schemeClr>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B-FB39-4C1C-8AA3-BD68DAB60BC6}"/>
              </c:ext>
            </c:extLst>
          </c:dPt>
          <c:dLbls>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endParaRPr lang="en-US"/>
                </a:p>
              </c:txPr>
              <c:dLblPos val="outEnd"/>
              <c:showLegendKey val="0"/>
              <c:showVal val="0"/>
              <c:showCatName val="1"/>
              <c:showSerName val="0"/>
              <c:showPercent val="1"/>
              <c:showBubbleSize val="0"/>
              <c:extLst>
                <c:ext xmlns:c16="http://schemas.microsoft.com/office/drawing/2014/chart" uri="{C3380CC4-5D6E-409C-BE32-E72D297353CC}">
                  <c16:uniqueId val="{00000003-FB39-4C1C-8AA3-BD68DAB60BC6}"/>
                </c:ext>
              </c:extLst>
            </c:dLbl>
            <c:dLbl>
              <c:idx val="1"/>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2"/>
                      </a:solidFill>
                      <a:latin typeface="+mn-lt"/>
                      <a:ea typeface="+mn-ea"/>
                      <a:cs typeface="+mn-cs"/>
                    </a:defRPr>
                  </a:pPr>
                  <a:endParaRPr lang="en-US"/>
                </a:p>
              </c:txPr>
              <c:dLblPos val="outEnd"/>
              <c:showLegendKey val="0"/>
              <c:showVal val="0"/>
              <c:showCatName val="1"/>
              <c:showSerName val="0"/>
              <c:showPercent val="1"/>
              <c:showBubbleSize val="0"/>
              <c:extLst>
                <c:ext xmlns:c16="http://schemas.microsoft.com/office/drawing/2014/chart" uri="{C3380CC4-5D6E-409C-BE32-E72D297353CC}">
                  <c16:uniqueId val="{00000004-FB39-4C1C-8AA3-BD68DAB60BC6}"/>
                </c:ext>
              </c:extLst>
            </c:dLbl>
            <c:dLbl>
              <c:idx val="2"/>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3"/>
                      </a:solidFill>
                      <a:latin typeface="+mn-lt"/>
                      <a:ea typeface="+mn-ea"/>
                      <a:cs typeface="+mn-cs"/>
                    </a:defRPr>
                  </a:pPr>
                  <a:endParaRPr lang="en-US"/>
                </a:p>
              </c:txPr>
              <c:dLblPos val="outEnd"/>
              <c:showLegendKey val="0"/>
              <c:showVal val="0"/>
              <c:showCatName val="1"/>
              <c:showSerName val="0"/>
              <c:showPercent val="1"/>
              <c:showBubbleSize val="0"/>
              <c:extLst>
                <c:ext xmlns:c16="http://schemas.microsoft.com/office/drawing/2014/chart" uri="{C3380CC4-5D6E-409C-BE32-E72D297353CC}">
                  <c16:uniqueId val="{00000005-FB39-4C1C-8AA3-BD68DAB60BC6}"/>
                </c:ext>
              </c:extLst>
            </c:dLbl>
            <c:dLbl>
              <c:idx val="3"/>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4"/>
                      </a:solidFill>
                      <a:latin typeface="+mn-lt"/>
                      <a:ea typeface="+mn-ea"/>
                      <a:cs typeface="+mn-cs"/>
                    </a:defRPr>
                  </a:pPr>
                  <a:endParaRPr lang="en-US"/>
                </a:p>
              </c:txPr>
              <c:dLblPos val="outEnd"/>
              <c:showLegendKey val="0"/>
              <c:showVal val="0"/>
              <c:showCatName val="1"/>
              <c:showSerName val="0"/>
              <c:showPercent val="1"/>
              <c:showBubbleSize val="0"/>
              <c:extLst>
                <c:ext xmlns:c16="http://schemas.microsoft.com/office/drawing/2014/chart" uri="{C3380CC4-5D6E-409C-BE32-E72D297353CC}">
                  <c16:uniqueId val="{00000006-FB39-4C1C-8AA3-BD68DAB60BC6}"/>
                </c:ext>
              </c:extLst>
            </c:dLbl>
            <c:dLbl>
              <c:idx val="4"/>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5"/>
                      </a:solidFill>
                      <a:latin typeface="+mn-lt"/>
                      <a:ea typeface="+mn-ea"/>
                      <a:cs typeface="+mn-cs"/>
                    </a:defRPr>
                  </a:pPr>
                  <a:endParaRPr lang="en-US"/>
                </a:p>
              </c:txPr>
              <c:dLblPos val="outEnd"/>
              <c:showLegendKey val="0"/>
              <c:showVal val="0"/>
              <c:showCatName val="1"/>
              <c:showSerName val="0"/>
              <c:showPercent val="1"/>
              <c:showBubbleSize val="0"/>
              <c:extLst>
                <c:ext xmlns:c16="http://schemas.microsoft.com/office/drawing/2014/chart" uri="{C3380CC4-5D6E-409C-BE32-E72D297353CC}">
                  <c16:uniqueId val="{00000007-FB39-4C1C-8AA3-BD68DAB60BC6}"/>
                </c:ext>
              </c:extLst>
            </c:dLbl>
            <c:dLbl>
              <c:idx val="5"/>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6"/>
                      </a:solidFill>
                      <a:latin typeface="+mn-lt"/>
                      <a:ea typeface="+mn-ea"/>
                      <a:cs typeface="+mn-cs"/>
                    </a:defRPr>
                  </a:pPr>
                  <a:endParaRPr lang="en-US"/>
                </a:p>
              </c:txPr>
              <c:dLblPos val="outEnd"/>
              <c:showLegendKey val="0"/>
              <c:showVal val="0"/>
              <c:showCatName val="1"/>
              <c:showSerName val="0"/>
              <c:showPercent val="1"/>
              <c:showBubbleSize val="0"/>
              <c:extLst>
                <c:ext xmlns:c16="http://schemas.microsoft.com/office/drawing/2014/chart" uri="{C3380CC4-5D6E-409C-BE32-E72D297353CC}">
                  <c16:uniqueId val="{00000008-FB39-4C1C-8AA3-BD68DAB60BC6}"/>
                </c:ext>
              </c:extLst>
            </c:dLbl>
            <c:dLbl>
              <c:idx val="6"/>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lumMod val="60000"/>
                        </a:schemeClr>
                      </a:solidFill>
                      <a:latin typeface="+mn-lt"/>
                      <a:ea typeface="+mn-ea"/>
                      <a:cs typeface="+mn-cs"/>
                    </a:defRPr>
                  </a:pPr>
                  <a:endParaRPr lang="en-US"/>
                </a:p>
              </c:txPr>
              <c:dLblPos val="outEnd"/>
              <c:showLegendKey val="0"/>
              <c:showVal val="0"/>
              <c:showCatName val="1"/>
              <c:showSerName val="0"/>
              <c:showPercent val="1"/>
              <c:showBubbleSize val="0"/>
              <c:extLst>
                <c:ext xmlns:c16="http://schemas.microsoft.com/office/drawing/2014/chart" uri="{C3380CC4-5D6E-409C-BE32-E72D297353CC}">
                  <c16:uniqueId val="{00000009-FB39-4C1C-8AA3-BD68DAB60BC6}"/>
                </c:ext>
              </c:extLst>
            </c:dLbl>
            <c:dLbl>
              <c:idx val="7"/>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2">
                          <a:lumMod val="60000"/>
                        </a:schemeClr>
                      </a:solidFill>
                      <a:latin typeface="+mn-lt"/>
                      <a:ea typeface="+mn-ea"/>
                      <a:cs typeface="+mn-cs"/>
                    </a:defRPr>
                  </a:pPr>
                  <a:endParaRPr lang="en-US"/>
                </a:p>
              </c:txPr>
              <c:dLblPos val="outEnd"/>
              <c:showLegendKey val="0"/>
              <c:showVal val="0"/>
              <c:showCatName val="1"/>
              <c:showSerName val="0"/>
              <c:showPercent val="1"/>
              <c:showBubbleSize val="0"/>
              <c:extLst>
                <c:ext xmlns:c16="http://schemas.microsoft.com/office/drawing/2014/chart" uri="{C3380CC4-5D6E-409C-BE32-E72D297353CC}">
                  <c16:uniqueId val="{0000000A-FB39-4C1C-8AA3-BD68DAB60BC6}"/>
                </c:ext>
              </c:extLst>
            </c:dLbl>
            <c:dLbl>
              <c:idx val="8"/>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3">
                          <a:lumMod val="60000"/>
                        </a:schemeClr>
                      </a:solidFill>
                      <a:latin typeface="+mn-lt"/>
                      <a:ea typeface="+mn-ea"/>
                      <a:cs typeface="+mn-cs"/>
                    </a:defRPr>
                  </a:pPr>
                  <a:endParaRPr lang="en-US"/>
                </a:p>
              </c:txPr>
              <c:dLblPos val="outEnd"/>
              <c:showLegendKey val="0"/>
              <c:showVal val="0"/>
              <c:showCatName val="1"/>
              <c:showSerName val="0"/>
              <c:showPercent val="1"/>
              <c:showBubbleSize val="0"/>
              <c:extLst>
                <c:ext xmlns:c16="http://schemas.microsoft.com/office/drawing/2014/chart" uri="{C3380CC4-5D6E-409C-BE32-E72D297353CC}">
                  <c16:uniqueId val="{0000000B-FB39-4C1C-8AA3-BD68DAB60BC6}"/>
                </c:ext>
              </c:extLst>
            </c:dLbl>
            <c:spPr>
              <a:noFill/>
              <a:ln>
                <a:noFill/>
              </a:ln>
              <a:effectLst/>
            </c:spPr>
            <c:dLblPos val="outEnd"/>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'Sheet1 (3)'!$R$21:$R$29</c:f>
              <c:strCache>
                <c:ptCount val="9"/>
                <c:pt idx="0">
                  <c:v>Utilitis</c:v>
                </c:pt>
                <c:pt idx="1">
                  <c:v>Toner</c:v>
                </c:pt>
                <c:pt idx="2">
                  <c:v>AKT</c:v>
                </c:pt>
                <c:pt idx="3">
                  <c:v>Kombustivel</c:v>
                </c:pt>
                <c:pt idx="4">
                  <c:v>Manutensao Kareta</c:v>
                </c:pt>
                <c:pt idx="5">
                  <c:v>Viagem</c:v>
                </c:pt>
                <c:pt idx="6">
                  <c:v>Salario Kazuais</c:v>
                </c:pt>
                <c:pt idx="7">
                  <c:v>Palestra</c:v>
                </c:pt>
                <c:pt idx="8">
                  <c:v>Representasun</c:v>
                </c:pt>
              </c:strCache>
            </c:strRef>
          </c:cat>
          <c:val>
            <c:numRef>
              <c:f>'Sheet1 (3)'!$S$21:$S$29</c:f>
              <c:numCache>
                <c:formatCode>"$"#,##0.00</c:formatCode>
                <c:ptCount val="9"/>
                <c:pt idx="0">
                  <c:v>3000</c:v>
                </c:pt>
                <c:pt idx="1">
                  <c:v>1000</c:v>
                </c:pt>
                <c:pt idx="2">
                  <c:v>2000</c:v>
                </c:pt>
                <c:pt idx="3">
                  <c:v>2548</c:v>
                </c:pt>
                <c:pt idx="4">
                  <c:v>1200</c:v>
                </c:pt>
                <c:pt idx="5">
                  <c:v>3000</c:v>
                </c:pt>
                <c:pt idx="6">
                  <c:v>5304</c:v>
                </c:pt>
                <c:pt idx="7">
                  <c:v>2280</c:v>
                </c:pt>
                <c:pt idx="8">
                  <c:v>2000</c:v>
                </c:pt>
              </c:numCache>
            </c:numRef>
          </c:val>
          <c:extLst>
            <c:ext xmlns:c16="http://schemas.microsoft.com/office/drawing/2014/chart" uri="{C3380CC4-5D6E-409C-BE32-E72D297353CC}">
              <c16:uniqueId val="{00000000-FB39-4C1C-8AA3-BD68DAB60BC6}"/>
            </c:ext>
          </c:extLst>
        </c:ser>
        <c:ser>
          <c:idx val="1"/>
          <c:order val="1"/>
          <c:dPt>
            <c:idx val="0"/>
            <c:bubble3D val="0"/>
            <c:spPr>
              <a:solidFill>
                <a:schemeClr val="accent1"/>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C-FB39-4C1C-8AA3-BD68DAB60BC6}"/>
              </c:ext>
            </c:extLst>
          </c:dPt>
          <c:dPt>
            <c:idx val="1"/>
            <c:bubble3D val="0"/>
            <c:spPr>
              <a:solidFill>
                <a:schemeClr val="accent2"/>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D-FB39-4C1C-8AA3-BD68DAB60BC6}"/>
              </c:ext>
            </c:extLst>
          </c:dPt>
          <c:dPt>
            <c:idx val="2"/>
            <c:bubble3D val="0"/>
            <c:spPr>
              <a:solidFill>
                <a:schemeClr val="accent3"/>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E-FB39-4C1C-8AA3-BD68DAB60BC6}"/>
              </c:ext>
            </c:extLst>
          </c:dPt>
          <c:dPt>
            <c:idx val="3"/>
            <c:bubble3D val="0"/>
            <c:spPr>
              <a:solidFill>
                <a:schemeClr val="accent4"/>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F-FB39-4C1C-8AA3-BD68DAB60BC6}"/>
              </c:ext>
            </c:extLst>
          </c:dPt>
          <c:dPt>
            <c:idx val="4"/>
            <c:bubble3D val="0"/>
            <c:spPr>
              <a:solidFill>
                <a:schemeClr val="accent5"/>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10-FB39-4C1C-8AA3-BD68DAB60BC6}"/>
              </c:ext>
            </c:extLst>
          </c:dPt>
          <c:dPt>
            <c:idx val="5"/>
            <c:bubble3D val="0"/>
            <c:spPr>
              <a:solidFill>
                <a:schemeClr val="accent6"/>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11-FB39-4C1C-8AA3-BD68DAB60BC6}"/>
              </c:ext>
            </c:extLst>
          </c:dPt>
          <c:dPt>
            <c:idx val="6"/>
            <c:bubble3D val="0"/>
            <c:spPr>
              <a:solidFill>
                <a:schemeClr val="accent1">
                  <a:lumMod val="60000"/>
                </a:schemeClr>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12-FB39-4C1C-8AA3-BD68DAB60BC6}"/>
              </c:ext>
            </c:extLst>
          </c:dPt>
          <c:dPt>
            <c:idx val="7"/>
            <c:bubble3D val="0"/>
            <c:spPr>
              <a:solidFill>
                <a:schemeClr val="accent2">
                  <a:lumMod val="60000"/>
                </a:schemeClr>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13-FB39-4C1C-8AA3-BD68DAB60BC6}"/>
              </c:ext>
            </c:extLst>
          </c:dPt>
          <c:dPt>
            <c:idx val="8"/>
            <c:bubble3D val="0"/>
            <c:spPr>
              <a:solidFill>
                <a:schemeClr val="accent3">
                  <a:lumMod val="60000"/>
                </a:schemeClr>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14-FB39-4C1C-8AA3-BD68DAB60BC6}"/>
              </c:ext>
            </c:extLst>
          </c:dPt>
          <c:dLbls>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endParaRPr lang="en-US"/>
                </a:p>
              </c:txPr>
              <c:dLblPos val="outEnd"/>
              <c:showLegendKey val="0"/>
              <c:showVal val="0"/>
              <c:showCatName val="1"/>
              <c:showSerName val="0"/>
              <c:showPercent val="1"/>
              <c:showBubbleSize val="0"/>
              <c:extLst>
                <c:ext xmlns:c16="http://schemas.microsoft.com/office/drawing/2014/chart" uri="{C3380CC4-5D6E-409C-BE32-E72D297353CC}">
                  <c16:uniqueId val="{0000000C-FB39-4C1C-8AA3-BD68DAB60BC6}"/>
                </c:ext>
              </c:extLst>
            </c:dLbl>
            <c:dLbl>
              <c:idx val="1"/>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2"/>
                      </a:solidFill>
                      <a:latin typeface="+mn-lt"/>
                      <a:ea typeface="+mn-ea"/>
                      <a:cs typeface="+mn-cs"/>
                    </a:defRPr>
                  </a:pPr>
                  <a:endParaRPr lang="en-US"/>
                </a:p>
              </c:txPr>
              <c:dLblPos val="outEnd"/>
              <c:showLegendKey val="0"/>
              <c:showVal val="0"/>
              <c:showCatName val="1"/>
              <c:showSerName val="0"/>
              <c:showPercent val="1"/>
              <c:showBubbleSize val="0"/>
              <c:extLst>
                <c:ext xmlns:c16="http://schemas.microsoft.com/office/drawing/2014/chart" uri="{C3380CC4-5D6E-409C-BE32-E72D297353CC}">
                  <c16:uniqueId val="{0000000D-FB39-4C1C-8AA3-BD68DAB60BC6}"/>
                </c:ext>
              </c:extLst>
            </c:dLbl>
            <c:dLbl>
              <c:idx val="2"/>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3"/>
                      </a:solidFill>
                      <a:latin typeface="+mn-lt"/>
                      <a:ea typeface="+mn-ea"/>
                      <a:cs typeface="+mn-cs"/>
                    </a:defRPr>
                  </a:pPr>
                  <a:endParaRPr lang="en-US"/>
                </a:p>
              </c:txPr>
              <c:dLblPos val="outEnd"/>
              <c:showLegendKey val="0"/>
              <c:showVal val="0"/>
              <c:showCatName val="1"/>
              <c:showSerName val="0"/>
              <c:showPercent val="1"/>
              <c:showBubbleSize val="0"/>
              <c:extLst>
                <c:ext xmlns:c16="http://schemas.microsoft.com/office/drawing/2014/chart" uri="{C3380CC4-5D6E-409C-BE32-E72D297353CC}">
                  <c16:uniqueId val="{0000000E-FB39-4C1C-8AA3-BD68DAB60BC6}"/>
                </c:ext>
              </c:extLst>
            </c:dLbl>
            <c:dLbl>
              <c:idx val="3"/>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4"/>
                      </a:solidFill>
                      <a:latin typeface="+mn-lt"/>
                      <a:ea typeface="+mn-ea"/>
                      <a:cs typeface="+mn-cs"/>
                    </a:defRPr>
                  </a:pPr>
                  <a:endParaRPr lang="en-US"/>
                </a:p>
              </c:txPr>
              <c:dLblPos val="outEnd"/>
              <c:showLegendKey val="0"/>
              <c:showVal val="0"/>
              <c:showCatName val="1"/>
              <c:showSerName val="0"/>
              <c:showPercent val="1"/>
              <c:showBubbleSize val="0"/>
              <c:extLst>
                <c:ext xmlns:c16="http://schemas.microsoft.com/office/drawing/2014/chart" uri="{C3380CC4-5D6E-409C-BE32-E72D297353CC}">
                  <c16:uniqueId val="{0000000F-FB39-4C1C-8AA3-BD68DAB60BC6}"/>
                </c:ext>
              </c:extLst>
            </c:dLbl>
            <c:dLbl>
              <c:idx val="4"/>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5"/>
                      </a:solidFill>
                      <a:latin typeface="+mn-lt"/>
                      <a:ea typeface="+mn-ea"/>
                      <a:cs typeface="+mn-cs"/>
                    </a:defRPr>
                  </a:pPr>
                  <a:endParaRPr lang="en-US"/>
                </a:p>
              </c:txPr>
              <c:dLblPos val="outEnd"/>
              <c:showLegendKey val="0"/>
              <c:showVal val="0"/>
              <c:showCatName val="1"/>
              <c:showSerName val="0"/>
              <c:showPercent val="1"/>
              <c:showBubbleSize val="0"/>
              <c:extLst>
                <c:ext xmlns:c16="http://schemas.microsoft.com/office/drawing/2014/chart" uri="{C3380CC4-5D6E-409C-BE32-E72D297353CC}">
                  <c16:uniqueId val="{00000010-FB39-4C1C-8AA3-BD68DAB60BC6}"/>
                </c:ext>
              </c:extLst>
            </c:dLbl>
            <c:dLbl>
              <c:idx val="5"/>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6"/>
                      </a:solidFill>
                      <a:latin typeface="+mn-lt"/>
                      <a:ea typeface="+mn-ea"/>
                      <a:cs typeface="+mn-cs"/>
                    </a:defRPr>
                  </a:pPr>
                  <a:endParaRPr lang="en-US"/>
                </a:p>
              </c:txPr>
              <c:dLblPos val="outEnd"/>
              <c:showLegendKey val="0"/>
              <c:showVal val="0"/>
              <c:showCatName val="1"/>
              <c:showSerName val="0"/>
              <c:showPercent val="1"/>
              <c:showBubbleSize val="0"/>
              <c:extLst>
                <c:ext xmlns:c16="http://schemas.microsoft.com/office/drawing/2014/chart" uri="{C3380CC4-5D6E-409C-BE32-E72D297353CC}">
                  <c16:uniqueId val="{00000011-FB39-4C1C-8AA3-BD68DAB60BC6}"/>
                </c:ext>
              </c:extLst>
            </c:dLbl>
            <c:dLbl>
              <c:idx val="6"/>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lumMod val="60000"/>
                        </a:schemeClr>
                      </a:solidFill>
                      <a:latin typeface="+mn-lt"/>
                      <a:ea typeface="+mn-ea"/>
                      <a:cs typeface="+mn-cs"/>
                    </a:defRPr>
                  </a:pPr>
                  <a:endParaRPr lang="en-US"/>
                </a:p>
              </c:txPr>
              <c:dLblPos val="outEnd"/>
              <c:showLegendKey val="0"/>
              <c:showVal val="0"/>
              <c:showCatName val="1"/>
              <c:showSerName val="0"/>
              <c:showPercent val="1"/>
              <c:showBubbleSize val="0"/>
              <c:extLst>
                <c:ext xmlns:c16="http://schemas.microsoft.com/office/drawing/2014/chart" uri="{C3380CC4-5D6E-409C-BE32-E72D297353CC}">
                  <c16:uniqueId val="{00000012-FB39-4C1C-8AA3-BD68DAB60BC6}"/>
                </c:ext>
              </c:extLst>
            </c:dLbl>
            <c:dLbl>
              <c:idx val="7"/>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2">
                          <a:lumMod val="60000"/>
                        </a:schemeClr>
                      </a:solidFill>
                      <a:latin typeface="+mn-lt"/>
                      <a:ea typeface="+mn-ea"/>
                      <a:cs typeface="+mn-cs"/>
                    </a:defRPr>
                  </a:pPr>
                  <a:endParaRPr lang="en-US"/>
                </a:p>
              </c:txPr>
              <c:dLblPos val="outEnd"/>
              <c:showLegendKey val="0"/>
              <c:showVal val="0"/>
              <c:showCatName val="1"/>
              <c:showSerName val="0"/>
              <c:showPercent val="1"/>
              <c:showBubbleSize val="0"/>
              <c:extLst>
                <c:ext xmlns:c16="http://schemas.microsoft.com/office/drawing/2014/chart" uri="{C3380CC4-5D6E-409C-BE32-E72D297353CC}">
                  <c16:uniqueId val="{00000013-FB39-4C1C-8AA3-BD68DAB60BC6}"/>
                </c:ext>
              </c:extLst>
            </c:dLbl>
            <c:dLbl>
              <c:idx val="8"/>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3">
                          <a:lumMod val="60000"/>
                        </a:schemeClr>
                      </a:solidFill>
                      <a:latin typeface="+mn-lt"/>
                      <a:ea typeface="+mn-ea"/>
                      <a:cs typeface="+mn-cs"/>
                    </a:defRPr>
                  </a:pPr>
                  <a:endParaRPr lang="en-US"/>
                </a:p>
              </c:txPr>
              <c:dLblPos val="outEnd"/>
              <c:showLegendKey val="0"/>
              <c:showVal val="0"/>
              <c:showCatName val="1"/>
              <c:showSerName val="0"/>
              <c:showPercent val="1"/>
              <c:showBubbleSize val="0"/>
              <c:extLst>
                <c:ext xmlns:c16="http://schemas.microsoft.com/office/drawing/2014/chart" uri="{C3380CC4-5D6E-409C-BE32-E72D297353CC}">
                  <c16:uniqueId val="{00000014-FB39-4C1C-8AA3-BD68DAB60BC6}"/>
                </c:ext>
              </c:extLst>
            </c:dLbl>
            <c:spPr>
              <a:noFill/>
              <a:ln>
                <a:noFill/>
              </a:ln>
              <a:effectLst/>
            </c:spPr>
            <c:dLblPos val="outEnd"/>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'Sheet1 (3)'!$R$21:$R$29</c:f>
              <c:strCache>
                <c:ptCount val="9"/>
                <c:pt idx="0">
                  <c:v>Utilitis</c:v>
                </c:pt>
                <c:pt idx="1">
                  <c:v>Toner</c:v>
                </c:pt>
                <c:pt idx="2">
                  <c:v>AKT</c:v>
                </c:pt>
                <c:pt idx="3">
                  <c:v>Kombustivel</c:v>
                </c:pt>
                <c:pt idx="4">
                  <c:v>Manutensao Kareta</c:v>
                </c:pt>
                <c:pt idx="5">
                  <c:v>Viagem</c:v>
                </c:pt>
                <c:pt idx="6">
                  <c:v>Salario Kazuais</c:v>
                </c:pt>
                <c:pt idx="7">
                  <c:v>Palestra</c:v>
                </c:pt>
                <c:pt idx="8">
                  <c:v>Representasun</c:v>
                </c:pt>
              </c:strCache>
            </c:strRef>
          </c:cat>
          <c:val>
            <c:numRef>
              <c:f>'Sheet1 (3)'!$T$21:$T$29</c:f>
              <c:numCache>
                <c:formatCode>General</c:formatCode>
                <c:ptCount val="9"/>
                <c:pt idx="0">
                  <c:v>450</c:v>
                </c:pt>
                <c:pt idx="1">
                  <c:v>250</c:v>
                </c:pt>
                <c:pt idx="2">
                  <c:v>1000</c:v>
                </c:pt>
                <c:pt idx="3">
                  <c:v>1274</c:v>
                </c:pt>
                <c:pt idx="4">
                  <c:v>0</c:v>
                </c:pt>
                <c:pt idx="5">
                  <c:v>1500</c:v>
                </c:pt>
                <c:pt idx="6">
                  <c:v>2040</c:v>
                </c:pt>
                <c:pt idx="7">
                  <c:v>1140</c:v>
                </c:pt>
                <c:pt idx="8">
                  <c:v>100</c:v>
                </c:pt>
              </c:numCache>
            </c:numRef>
          </c:val>
          <c:extLst>
            <c:ext xmlns:c16="http://schemas.microsoft.com/office/drawing/2014/chart" uri="{C3380CC4-5D6E-409C-BE32-E72D297353CC}">
              <c16:uniqueId val="{00000001-FB39-4C1C-8AA3-BD68DAB60BC6}"/>
            </c:ext>
          </c:extLst>
        </c:ser>
        <c:ser>
          <c:idx val="2"/>
          <c:order val="2"/>
          <c:dPt>
            <c:idx val="0"/>
            <c:bubble3D val="0"/>
            <c:spPr>
              <a:solidFill>
                <a:schemeClr val="accent1"/>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15-FB39-4C1C-8AA3-BD68DAB60BC6}"/>
              </c:ext>
            </c:extLst>
          </c:dPt>
          <c:dPt>
            <c:idx val="1"/>
            <c:bubble3D val="0"/>
            <c:spPr>
              <a:solidFill>
                <a:schemeClr val="accent2"/>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16-FB39-4C1C-8AA3-BD68DAB60BC6}"/>
              </c:ext>
            </c:extLst>
          </c:dPt>
          <c:dPt>
            <c:idx val="2"/>
            <c:bubble3D val="0"/>
            <c:spPr>
              <a:solidFill>
                <a:schemeClr val="accent3"/>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17-FB39-4C1C-8AA3-BD68DAB60BC6}"/>
              </c:ext>
            </c:extLst>
          </c:dPt>
          <c:dPt>
            <c:idx val="3"/>
            <c:bubble3D val="0"/>
            <c:spPr>
              <a:solidFill>
                <a:schemeClr val="accent4"/>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18-FB39-4C1C-8AA3-BD68DAB60BC6}"/>
              </c:ext>
            </c:extLst>
          </c:dPt>
          <c:dPt>
            <c:idx val="4"/>
            <c:bubble3D val="0"/>
            <c:spPr>
              <a:solidFill>
                <a:schemeClr val="accent5"/>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19-FB39-4C1C-8AA3-BD68DAB60BC6}"/>
              </c:ext>
            </c:extLst>
          </c:dPt>
          <c:dPt>
            <c:idx val="5"/>
            <c:bubble3D val="0"/>
            <c:spPr>
              <a:solidFill>
                <a:schemeClr val="accent6"/>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1A-FB39-4C1C-8AA3-BD68DAB60BC6}"/>
              </c:ext>
            </c:extLst>
          </c:dPt>
          <c:dPt>
            <c:idx val="6"/>
            <c:bubble3D val="0"/>
            <c:spPr>
              <a:solidFill>
                <a:schemeClr val="accent1">
                  <a:lumMod val="60000"/>
                </a:schemeClr>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1B-FB39-4C1C-8AA3-BD68DAB60BC6}"/>
              </c:ext>
            </c:extLst>
          </c:dPt>
          <c:dPt>
            <c:idx val="7"/>
            <c:bubble3D val="0"/>
            <c:spPr>
              <a:solidFill>
                <a:schemeClr val="accent2">
                  <a:lumMod val="60000"/>
                </a:schemeClr>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1C-FB39-4C1C-8AA3-BD68DAB60BC6}"/>
              </c:ext>
            </c:extLst>
          </c:dPt>
          <c:dPt>
            <c:idx val="8"/>
            <c:bubble3D val="0"/>
            <c:spPr>
              <a:solidFill>
                <a:schemeClr val="accent3">
                  <a:lumMod val="60000"/>
                </a:schemeClr>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1D-FB39-4C1C-8AA3-BD68DAB60BC6}"/>
              </c:ext>
            </c:extLst>
          </c:dPt>
          <c:dLbls>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endParaRPr lang="en-US"/>
                </a:p>
              </c:txPr>
              <c:dLblPos val="outEnd"/>
              <c:showLegendKey val="0"/>
              <c:showVal val="0"/>
              <c:showCatName val="1"/>
              <c:showSerName val="0"/>
              <c:showPercent val="1"/>
              <c:showBubbleSize val="0"/>
              <c:extLst>
                <c:ext xmlns:c16="http://schemas.microsoft.com/office/drawing/2014/chart" uri="{C3380CC4-5D6E-409C-BE32-E72D297353CC}">
                  <c16:uniqueId val="{00000015-FB39-4C1C-8AA3-BD68DAB60BC6}"/>
                </c:ext>
              </c:extLst>
            </c:dLbl>
            <c:dLbl>
              <c:idx val="1"/>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2"/>
                      </a:solidFill>
                      <a:latin typeface="+mn-lt"/>
                      <a:ea typeface="+mn-ea"/>
                      <a:cs typeface="+mn-cs"/>
                    </a:defRPr>
                  </a:pPr>
                  <a:endParaRPr lang="en-US"/>
                </a:p>
              </c:txPr>
              <c:dLblPos val="outEnd"/>
              <c:showLegendKey val="0"/>
              <c:showVal val="0"/>
              <c:showCatName val="1"/>
              <c:showSerName val="0"/>
              <c:showPercent val="1"/>
              <c:showBubbleSize val="0"/>
              <c:extLst>
                <c:ext xmlns:c16="http://schemas.microsoft.com/office/drawing/2014/chart" uri="{C3380CC4-5D6E-409C-BE32-E72D297353CC}">
                  <c16:uniqueId val="{00000016-FB39-4C1C-8AA3-BD68DAB60BC6}"/>
                </c:ext>
              </c:extLst>
            </c:dLbl>
            <c:dLbl>
              <c:idx val="2"/>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3"/>
                      </a:solidFill>
                      <a:latin typeface="+mn-lt"/>
                      <a:ea typeface="+mn-ea"/>
                      <a:cs typeface="+mn-cs"/>
                    </a:defRPr>
                  </a:pPr>
                  <a:endParaRPr lang="en-US"/>
                </a:p>
              </c:txPr>
              <c:dLblPos val="outEnd"/>
              <c:showLegendKey val="0"/>
              <c:showVal val="0"/>
              <c:showCatName val="1"/>
              <c:showSerName val="0"/>
              <c:showPercent val="1"/>
              <c:showBubbleSize val="0"/>
              <c:extLst>
                <c:ext xmlns:c16="http://schemas.microsoft.com/office/drawing/2014/chart" uri="{C3380CC4-5D6E-409C-BE32-E72D297353CC}">
                  <c16:uniqueId val="{00000017-FB39-4C1C-8AA3-BD68DAB60BC6}"/>
                </c:ext>
              </c:extLst>
            </c:dLbl>
            <c:dLbl>
              <c:idx val="3"/>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4"/>
                      </a:solidFill>
                      <a:latin typeface="+mn-lt"/>
                      <a:ea typeface="+mn-ea"/>
                      <a:cs typeface="+mn-cs"/>
                    </a:defRPr>
                  </a:pPr>
                  <a:endParaRPr lang="en-US"/>
                </a:p>
              </c:txPr>
              <c:dLblPos val="outEnd"/>
              <c:showLegendKey val="0"/>
              <c:showVal val="0"/>
              <c:showCatName val="1"/>
              <c:showSerName val="0"/>
              <c:showPercent val="1"/>
              <c:showBubbleSize val="0"/>
              <c:extLst>
                <c:ext xmlns:c16="http://schemas.microsoft.com/office/drawing/2014/chart" uri="{C3380CC4-5D6E-409C-BE32-E72D297353CC}">
                  <c16:uniqueId val="{00000018-FB39-4C1C-8AA3-BD68DAB60BC6}"/>
                </c:ext>
              </c:extLst>
            </c:dLbl>
            <c:dLbl>
              <c:idx val="4"/>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5"/>
                      </a:solidFill>
                      <a:latin typeface="+mn-lt"/>
                      <a:ea typeface="+mn-ea"/>
                      <a:cs typeface="+mn-cs"/>
                    </a:defRPr>
                  </a:pPr>
                  <a:endParaRPr lang="en-US"/>
                </a:p>
              </c:txPr>
              <c:dLblPos val="outEnd"/>
              <c:showLegendKey val="0"/>
              <c:showVal val="0"/>
              <c:showCatName val="1"/>
              <c:showSerName val="0"/>
              <c:showPercent val="1"/>
              <c:showBubbleSize val="0"/>
              <c:extLst>
                <c:ext xmlns:c16="http://schemas.microsoft.com/office/drawing/2014/chart" uri="{C3380CC4-5D6E-409C-BE32-E72D297353CC}">
                  <c16:uniqueId val="{00000019-FB39-4C1C-8AA3-BD68DAB60BC6}"/>
                </c:ext>
              </c:extLst>
            </c:dLbl>
            <c:dLbl>
              <c:idx val="5"/>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6"/>
                      </a:solidFill>
                      <a:latin typeface="+mn-lt"/>
                      <a:ea typeface="+mn-ea"/>
                      <a:cs typeface="+mn-cs"/>
                    </a:defRPr>
                  </a:pPr>
                  <a:endParaRPr lang="en-US"/>
                </a:p>
              </c:txPr>
              <c:dLblPos val="outEnd"/>
              <c:showLegendKey val="0"/>
              <c:showVal val="0"/>
              <c:showCatName val="1"/>
              <c:showSerName val="0"/>
              <c:showPercent val="1"/>
              <c:showBubbleSize val="0"/>
              <c:extLst>
                <c:ext xmlns:c16="http://schemas.microsoft.com/office/drawing/2014/chart" uri="{C3380CC4-5D6E-409C-BE32-E72D297353CC}">
                  <c16:uniqueId val="{0000001A-FB39-4C1C-8AA3-BD68DAB60BC6}"/>
                </c:ext>
              </c:extLst>
            </c:dLbl>
            <c:dLbl>
              <c:idx val="6"/>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lumMod val="60000"/>
                        </a:schemeClr>
                      </a:solidFill>
                      <a:latin typeface="+mn-lt"/>
                      <a:ea typeface="+mn-ea"/>
                      <a:cs typeface="+mn-cs"/>
                    </a:defRPr>
                  </a:pPr>
                  <a:endParaRPr lang="en-US"/>
                </a:p>
              </c:txPr>
              <c:dLblPos val="outEnd"/>
              <c:showLegendKey val="0"/>
              <c:showVal val="0"/>
              <c:showCatName val="1"/>
              <c:showSerName val="0"/>
              <c:showPercent val="1"/>
              <c:showBubbleSize val="0"/>
              <c:extLst>
                <c:ext xmlns:c16="http://schemas.microsoft.com/office/drawing/2014/chart" uri="{C3380CC4-5D6E-409C-BE32-E72D297353CC}">
                  <c16:uniqueId val="{0000001B-FB39-4C1C-8AA3-BD68DAB60BC6}"/>
                </c:ext>
              </c:extLst>
            </c:dLbl>
            <c:dLbl>
              <c:idx val="7"/>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2">
                          <a:lumMod val="60000"/>
                        </a:schemeClr>
                      </a:solidFill>
                      <a:latin typeface="+mn-lt"/>
                      <a:ea typeface="+mn-ea"/>
                      <a:cs typeface="+mn-cs"/>
                    </a:defRPr>
                  </a:pPr>
                  <a:endParaRPr lang="en-US"/>
                </a:p>
              </c:txPr>
              <c:dLblPos val="outEnd"/>
              <c:showLegendKey val="0"/>
              <c:showVal val="0"/>
              <c:showCatName val="1"/>
              <c:showSerName val="0"/>
              <c:showPercent val="1"/>
              <c:showBubbleSize val="0"/>
              <c:extLst>
                <c:ext xmlns:c16="http://schemas.microsoft.com/office/drawing/2014/chart" uri="{C3380CC4-5D6E-409C-BE32-E72D297353CC}">
                  <c16:uniqueId val="{0000001C-FB39-4C1C-8AA3-BD68DAB60BC6}"/>
                </c:ext>
              </c:extLst>
            </c:dLbl>
            <c:dLbl>
              <c:idx val="8"/>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3">
                          <a:lumMod val="60000"/>
                        </a:schemeClr>
                      </a:solidFill>
                      <a:latin typeface="+mn-lt"/>
                      <a:ea typeface="+mn-ea"/>
                      <a:cs typeface="+mn-cs"/>
                    </a:defRPr>
                  </a:pPr>
                  <a:endParaRPr lang="en-US"/>
                </a:p>
              </c:txPr>
              <c:dLblPos val="outEnd"/>
              <c:showLegendKey val="0"/>
              <c:showVal val="0"/>
              <c:showCatName val="1"/>
              <c:showSerName val="0"/>
              <c:showPercent val="1"/>
              <c:showBubbleSize val="0"/>
              <c:extLst>
                <c:ext xmlns:c16="http://schemas.microsoft.com/office/drawing/2014/chart" uri="{C3380CC4-5D6E-409C-BE32-E72D297353CC}">
                  <c16:uniqueId val="{0000001D-FB39-4C1C-8AA3-BD68DAB60BC6}"/>
                </c:ext>
              </c:extLst>
            </c:dLbl>
            <c:spPr>
              <a:noFill/>
              <a:ln>
                <a:noFill/>
              </a:ln>
              <a:effectLst/>
            </c:spPr>
            <c:dLblPos val="outEnd"/>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'Sheet1 (3)'!$R$21:$R$29</c:f>
              <c:strCache>
                <c:ptCount val="9"/>
                <c:pt idx="0">
                  <c:v>Utilitis</c:v>
                </c:pt>
                <c:pt idx="1">
                  <c:v>Toner</c:v>
                </c:pt>
                <c:pt idx="2">
                  <c:v>AKT</c:v>
                </c:pt>
                <c:pt idx="3">
                  <c:v>Kombustivel</c:v>
                </c:pt>
                <c:pt idx="4">
                  <c:v>Manutensao Kareta</c:v>
                </c:pt>
                <c:pt idx="5">
                  <c:v>Viagem</c:v>
                </c:pt>
                <c:pt idx="6">
                  <c:v>Salario Kazuais</c:v>
                </c:pt>
                <c:pt idx="7">
                  <c:v>Palestra</c:v>
                </c:pt>
                <c:pt idx="8">
                  <c:v>Representasun</c:v>
                </c:pt>
              </c:strCache>
            </c:strRef>
          </c:cat>
          <c:val>
            <c:numRef>
              <c:f>'Sheet1 (3)'!$U$21:$U$29</c:f>
              <c:numCache>
                <c:formatCode>0.00%</c:formatCode>
                <c:ptCount val="9"/>
                <c:pt idx="0">
                  <c:v>2.015045674368619E-2</c:v>
                </c:pt>
                <c:pt idx="1">
                  <c:v>1.1194698190936773E-2</c:v>
                </c:pt>
                <c:pt idx="2">
                  <c:v>4.4778792763747091E-2</c:v>
                </c:pt>
                <c:pt idx="3">
                  <c:v>5.7048181981013794E-2</c:v>
                </c:pt>
                <c:pt idx="4">
                  <c:v>0</c:v>
                </c:pt>
                <c:pt idx="5">
                  <c:v>6.716818914562063E-2</c:v>
                </c:pt>
                <c:pt idx="6">
                  <c:v>9.1348737238044056E-2</c:v>
                </c:pt>
                <c:pt idx="7">
                  <c:v>5.1047823750671684E-2</c:v>
                </c:pt>
                <c:pt idx="8">
                  <c:v>4.4778792763747093E-3</c:v>
                </c:pt>
              </c:numCache>
            </c:numRef>
          </c:val>
          <c:extLst>
            <c:ext xmlns:c16="http://schemas.microsoft.com/office/drawing/2014/chart" uri="{C3380CC4-5D6E-409C-BE32-E72D297353CC}">
              <c16:uniqueId val="{00000002-FB39-4C1C-8AA3-BD68DAB60BC6}"/>
            </c:ext>
          </c:extLst>
        </c:ser>
        <c:dLbls>
          <c:dLblPos val="outEnd"/>
          <c:showLegendKey val="0"/>
          <c:showVal val="0"/>
          <c:showCatName val="0"/>
          <c:showSerName val="0"/>
          <c:showPercent val="1"/>
          <c:showBubbleSize val="0"/>
          <c:showLeaderLines val="1"/>
        </c:dLbls>
      </c:pie3D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2.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4.xml><?xml version="1.0" encoding="utf-8"?>
<cs:chartStyle xmlns:cs="http://schemas.microsoft.com/office/drawing/2012/chartStyle" xmlns:a="http://schemas.openxmlformats.org/drawingml/2006/main" id="25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cs:styleClr val="auto"/>
    </cs:fontRef>
    <cs:defRPr sz="1000" b="1" i="0" u="none" strike="noStrike" kern="1200" spc="0" baseline="0"/>
  </cs:dataLabel>
  <cs:dataLabelCallout>
    <cs:lnRef idx="0">
      <cs:styleClr val="auto"/>
    </cs:lnRef>
    <cs:fillRef idx="0"/>
    <cs:effectRef idx="0"/>
    <cs:fontRef idx="minor">
      <cs:styleClr val="auto"/>
    </cs:fontRef>
    <cs:spPr>
      <a:solidFill>
        <a:schemeClr val="lt1"/>
      </a:solidFill>
      <a:ln>
        <a:solidFill>
          <a:schemeClr val="phClr"/>
        </a:solidFill>
      </a:ln>
    </cs:spPr>
    <cs:defRPr sz="10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635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10000"/>
          </a:prstClr>
        </a:outerShdw>
      </a:effectLst>
      <a:scene3d>
        <a:camera prst="orthographicFront"/>
        <a:lightRig rig="threePt" dir="t"/>
      </a:scene3d>
      <a:sp3d>
        <a:bevelT w="127000" h="127000"/>
        <a:bevelB w="127000" h="127000"/>
      </a:sp3d>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5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cs:styleClr val="auto"/>
    </cs:fontRef>
    <cs:defRPr sz="1000" b="1" i="0" u="none" strike="noStrike" kern="1200" spc="0" baseline="0"/>
  </cs:dataLabel>
  <cs:dataLabelCallout>
    <cs:lnRef idx="0">
      <cs:styleClr val="auto"/>
    </cs:lnRef>
    <cs:fillRef idx="0"/>
    <cs:effectRef idx="0"/>
    <cs:fontRef idx="minor">
      <cs:styleClr val="auto"/>
    </cs:fontRef>
    <cs:spPr>
      <a:solidFill>
        <a:schemeClr val="lt1"/>
      </a:solidFill>
      <a:ln>
        <a:solidFill>
          <a:schemeClr val="phClr"/>
        </a:solidFill>
      </a:ln>
    </cs:spPr>
    <cs:defRPr sz="10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635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10000"/>
          </a:prstClr>
        </a:outerShdw>
      </a:effectLst>
      <a:scene3d>
        <a:camera prst="orthographicFront"/>
        <a:lightRig rig="threePt" dir="t"/>
      </a:scene3d>
      <a:sp3d>
        <a:bevelT w="127000" h="127000"/>
        <a:bevelB w="127000" h="127000"/>
      </a:sp3d>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1.xml"/><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chart" Target="../charts/chart3.xml"/><Relationship Id="rId1" Type="http://schemas.openxmlformats.org/officeDocument/2006/relationships/image" Target="../media/image1.jpeg"/><Relationship Id="rId4" Type="http://schemas.openxmlformats.org/officeDocument/2006/relationships/chart" Target="../charts/chart5.xml"/></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786955</xdr:colOff>
      <xdr:row>2</xdr:row>
      <xdr:rowOff>0</xdr:rowOff>
    </xdr:from>
    <xdr:to>
      <xdr:col>13</xdr:col>
      <xdr:colOff>94204</xdr:colOff>
      <xdr:row>8</xdr:row>
      <xdr:rowOff>158750</xdr:rowOff>
    </xdr:to>
    <xdr:pic>
      <xdr:nvPicPr>
        <xdr:cNvPr id="2" name="Picture 1">
          <a:extLst>
            <a:ext uri="{FF2B5EF4-FFF2-40B4-BE49-F238E27FC236}">
              <a16:creationId xmlns:a16="http://schemas.microsoft.com/office/drawing/2014/main" id="{4ED97779-49F0-4836-B989-01D8F119EF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7730" y="381000"/>
          <a:ext cx="8460774" cy="1301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20</xdr:col>
      <xdr:colOff>575685</xdr:colOff>
      <xdr:row>15</xdr:row>
      <xdr:rowOff>83319</xdr:rowOff>
    </xdr:from>
    <xdr:to>
      <xdr:col>26</xdr:col>
      <xdr:colOff>366346</xdr:colOff>
      <xdr:row>24</xdr:row>
      <xdr:rowOff>31821</xdr:rowOff>
    </xdr:to>
    <xdr:graphicFrame macro="">
      <xdr:nvGraphicFramePr>
        <xdr:cNvPr id="3" name="Chart 2">
          <a:extLst>
            <a:ext uri="{FF2B5EF4-FFF2-40B4-BE49-F238E27FC236}">
              <a16:creationId xmlns:a16="http://schemas.microsoft.com/office/drawing/2014/main" id="{98F730FB-EBF0-4F95-8733-F7EF0A259D7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786955</xdr:colOff>
      <xdr:row>2</xdr:row>
      <xdr:rowOff>0</xdr:rowOff>
    </xdr:from>
    <xdr:to>
      <xdr:col>13</xdr:col>
      <xdr:colOff>94204</xdr:colOff>
      <xdr:row>8</xdr:row>
      <xdr:rowOff>158750</xdr:rowOff>
    </xdr:to>
    <xdr:pic>
      <xdr:nvPicPr>
        <xdr:cNvPr id="2" name="Picture 1">
          <a:extLst>
            <a:ext uri="{FF2B5EF4-FFF2-40B4-BE49-F238E27FC236}">
              <a16:creationId xmlns:a16="http://schemas.microsoft.com/office/drawing/2014/main" id="{90377027-628D-408F-93DE-1328AE9B31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7730" y="381000"/>
          <a:ext cx="8460774" cy="1301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20</xdr:col>
      <xdr:colOff>575685</xdr:colOff>
      <xdr:row>15</xdr:row>
      <xdr:rowOff>83319</xdr:rowOff>
    </xdr:from>
    <xdr:to>
      <xdr:col>26</xdr:col>
      <xdr:colOff>366346</xdr:colOff>
      <xdr:row>24</xdr:row>
      <xdr:rowOff>31821</xdr:rowOff>
    </xdr:to>
    <xdr:graphicFrame macro="">
      <xdr:nvGraphicFramePr>
        <xdr:cNvPr id="3" name="Chart 2">
          <a:extLst>
            <a:ext uri="{FF2B5EF4-FFF2-40B4-BE49-F238E27FC236}">
              <a16:creationId xmlns:a16="http://schemas.microsoft.com/office/drawing/2014/main" id="{E49B72F9-78D5-4A9F-A2F9-1332DEC078E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0</xdr:colOff>
      <xdr:row>2</xdr:row>
      <xdr:rowOff>0</xdr:rowOff>
    </xdr:from>
    <xdr:to>
      <xdr:col>13</xdr:col>
      <xdr:colOff>144611</xdr:colOff>
      <xdr:row>8</xdr:row>
      <xdr:rowOff>158750</xdr:rowOff>
    </xdr:to>
    <xdr:pic>
      <xdr:nvPicPr>
        <xdr:cNvPr id="2" name="Picture 1">
          <a:extLst>
            <a:ext uri="{FF2B5EF4-FFF2-40B4-BE49-F238E27FC236}">
              <a16:creationId xmlns:a16="http://schemas.microsoft.com/office/drawing/2014/main" id="{6A35DC90-08A3-4F0C-B08B-F0A06AE09F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0775" y="381000"/>
          <a:ext cx="8469461" cy="1301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15</xdr:col>
      <xdr:colOff>177939</xdr:colOff>
      <xdr:row>40</xdr:row>
      <xdr:rowOff>471015</xdr:rowOff>
    </xdr:from>
    <xdr:to>
      <xdr:col>25</xdr:col>
      <xdr:colOff>428101</xdr:colOff>
      <xdr:row>52</xdr:row>
      <xdr:rowOff>21352</xdr:rowOff>
    </xdr:to>
    <xdr:graphicFrame macro="">
      <xdr:nvGraphicFramePr>
        <xdr:cNvPr id="4" name="Chart 3">
          <a:extLst>
            <a:ext uri="{FF2B5EF4-FFF2-40B4-BE49-F238E27FC236}">
              <a16:creationId xmlns:a16="http://schemas.microsoft.com/office/drawing/2014/main" id="{9A5DFB1B-DB7D-4975-8CBB-2073C80142B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512885</xdr:colOff>
      <xdr:row>50</xdr:row>
      <xdr:rowOff>62802</xdr:rowOff>
    </xdr:from>
    <xdr:to>
      <xdr:col>14</xdr:col>
      <xdr:colOff>9419</xdr:colOff>
      <xdr:row>61</xdr:row>
      <xdr:rowOff>94622</xdr:rowOff>
    </xdr:to>
    <xdr:graphicFrame macro="">
      <xdr:nvGraphicFramePr>
        <xdr:cNvPr id="5" name="Chart 4">
          <a:extLst>
            <a:ext uri="{FF2B5EF4-FFF2-40B4-BE49-F238E27FC236}">
              <a16:creationId xmlns:a16="http://schemas.microsoft.com/office/drawing/2014/main" id="{D5AA9458-AE07-43DA-92CD-E397B99DFBC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94204</xdr:colOff>
      <xdr:row>23</xdr:row>
      <xdr:rowOff>94202</xdr:rowOff>
    </xdr:from>
    <xdr:to>
      <xdr:col>16</xdr:col>
      <xdr:colOff>198873</xdr:colOff>
      <xdr:row>40</xdr:row>
      <xdr:rowOff>586152</xdr:rowOff>
    </xdr:to>
    <xdr:graphicFrame macro="">
      <xdr:nvGraphicFramePr>
        <xdr:cNvPr id="3" name="Chart 2">
          <a:extLst>
            <a:ext uri="{FF2B5EF4-FFF2-40B4-BE49-F238E27FC236}">
              <a16:creationId xmlns:a16="http://schemas.microsoft.com/office/drawing/2014/main" id="{E8311F58-78D0-4526-897D-26E212343A5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1083838</xdr:colOff>
      <xdr:row>0</xdr:row>
      <xdr:rowOff>94204</xdr:rowOff>
    </xdr:from>
    <xdr:to>
      <xdr:col>13</xdr:col>
      <xdr:colOff>460177</xdr:colOff>
      <xdr:row>7</xdr:row>
      <xdr:rowOff>12370</xdr:rowOff>
    </xdr:to>
    <xdr:pic>
      <xdr:nvPicPr>
        <xdr:cNvPr id="2" name="Picture 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5169" y="94204"/>
          <a:ext cx="8470151" cy="12170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18</xdr:col>
      <xdr:colOff>1728669</xdr:colOff>
      <xdr:row>0</xdr:row>
      <xdr:rowOff>178952</xdr:rowOff>
    </xdr:from>
    <xdr:to>
      <xdr:col>46</xdr:col>
      <xdr:colOff>685235</xdr:colOff>
      <xdr:row>8</xdr:row>
      <xdr:rowOff>536863</xdr:rowOff>
    </xdr:to>
    <xdr:pic>
      <xdr:nvPicPr>
        <xdr:cNvPr id="2" name="Picture 1">
          <a:extLst>
            <a:ext uri="{FF2B5EF4-FFF2-40B4-BE49-F238E27FC236}">
              <a16:creationId xmlns:a16="http://schemas.microsoft.com/office/drawing/2014/main" id="{B20EB759-3C2D-474A-AE6D-5E220F7C55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34078" y="178952"/>
          <a:ext cx="16457827" cy="18819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18</xdr:col>
      <xdr:colOff>1650404</xdr:colOff>
      <xdr:row>1</xdr:row>
      <xdr:rowOff>132881</xdr:rowOff>
    </xdr:from>
    <xdr:to>
      <xdr:col>46</xdr:col>
      <xdr:colOff>473991</xdr:colOff>
      <xdr:row>10</xdr:row>
      <xdr:rowOff>107098</xdr:rowOff>
    </xdr:to>
    <xdr:pic>
      <xdr:nvPicPr>
        <xdr:cNvPr id="2" name="Picture 1">
          <a:extLst>
            <a:ext uri="{FF2B5EF4-FFF2-40B4-BE49-F238E27FC236}">
              <a16:creationId xmlns:a16="http://schemas.microsoft.com/office/drawing/2014/main" id="{95C445D8-8C7B-4C81-B823-43CFE6E7E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49058" y="328266"/>
          <a:ext cx="16261664" cy="17326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18</xdr:col>
      <xdr:colOff>1728669</xdr:colOff>
      <xdr:row>0</xdr:row>
      <xdr:rowOff>178953</xdr:rowOff>
    </xdr:from>
    <xdr:to>
      <xdr:col>46</xdr:col>
      <xdr:colOff>1184681</xdr:colOff>
      <xdr:row>9</xdr:row>
      <xdr:rowOff>153169</xdr:rowOff>
    </xdr:to>
    <xdr:pic>
      <xdr:nvPicPr>
        <xdr:cNvPr id="2" name="Picture 1">
          <a:extLst>
            <a:ext uri="{FF2B5EF4-FFF2-40B4-BE49-F238E27FC236}">
              <a16:creationId xmlns:a16="http://schemas.microsoft.com/office/drawing/2014/main" id="{92238432-A4B7-4170-AFF5-24DA23AC6D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63469" y="178953"/>
          <a:ext cx="16395481" cy="16887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1111250</xdr:colOff>
      <xdr:row>0</xdr:row>
      <xdr:rowOff>127000</xdr:rowOff>
    </xdr:from>
    <xdr:to>
      <xdr:col>10</xdr:col>
      <xdr:colOff>825500</xdr:colOff>
      <xdr:row>5</xdr:row>
      <xdr:rowOff>301625</xdr:rowOff>
    </xdr:to>
    <xdr:pic>
      <xdr:nvPicPr>
        <xdr:cNvPr id="2" name="Picture 1">
          <a:extLst>
            <a:ext uri="{FF2B5EF4-FFF2-40B4-BE49-F238E27FC236}">
              <a16:creationId xmlns:a16="http://schemas.microsoft.com/office/drawing/2014/main" id="{C91DA104-45F6-4048-B0FC-7B3F7CE1E7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7750" y="127000"/>
          <a:ext cx="15097125" cy="1682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508000</xdr:colOff>
      <xdr:row>0</xdr:row>
      <xdr:rowOff>282574</xdr:rowOff>
    </xdr:from>
    <xdr:to>
      <xdr:col>10</xdr:col>
      <xdr:colOff>745302</xdr:colOff>
      <xdr:row>5</xdr:row>
      <xdr:rowOff>396875</xdr:rowOff>
    </xdr:to>
    <xdr:pic>
      <xdr:nvPicPr>
        <xdr:cNvPr id="2" name="Picture 1">
          <a:extLst>
            <a:ext uri="{FF2B5EF4-FFF2-40B4-BE49-F238E27FC236}">
              <a16:creationId xmlns:a16="http://schemas.microsoft.com/office/drawing/2014/main" id="{EA22CD71-22E5-4039-A083-741A0C9552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27200" y="282574"/>
          <a:ext cx="14734352" cy="15843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0.xml><?xml version="1.0" encoding="utf-8"?>
<xdr:wsDr xmlns:xdr="http://schemas.openxmlformats.org/drawingml/2006/spreadsheetDrawing" xmlns:a="http://schemas.openxmlformats.org/drawingml/2006/main">
  <xdr:oneCellAnchor>
    <xdr:from>
      <xdr:col>2</xdr:col>
      <xdr:colOff>34132</xdr:colOff>
      <xdr:row>3</xdr:row>
      <xdr:rowOff>80168</xdr:rowOff>
    </xdr:from>
    <xdr:ext cx="14747052" cy="1622426"/>
    <xdr:pic>
      <xdr:nvPicPr>
        <xdr:cNvPr id="2" name="Picture 1">
          <a:extLst>
            <a:ext uri="{FF2B5EF4-FFF2-40B4-BE49-F238E27FC236}">
              <a16:creationId xmlns:a16="http://schemas.microsoft.com/office/drawing/2014/main" id="{79A590DD-1C94-4747-BA3B-7842D81306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332" y="651668"/>
          <a:ext cx="14747052" cy="162242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11.xml><?xml version="1.0" encoding="utf-8"?>
<xdr:wsDr xmlns:xdr="http://schemas.openxmlformats.org/drawingml/2006/spreadsheetDrawing" xmlns:a="http://schemas.openxmlformats.org/drawingml/2006/main">
  <xdr:twoCellAnchor editAs="oneCell">
    <xdr:from>
      <xdr:col>1</xdr:col>
      <xdr:colOff>2190749</xdr:colOff>
      <xdr:row>0</xdr:row>
      <xdr:rowOff>0</xdr:rowOff>
    </xdr:from>
    <xdr:to>
      <xdr:col>5</xdr:col>
      <xdr:colOff>202405</xdr:colOff>
      <xdr:row>6</xdr:row>
      <xdr:rowOff>178593</xdr:rowOff>
    </xdr:to>
    <xdr:pic>
      <xdr:nvPicPr>
        <xdr:cNvPr id="2" name="Picture 1">
          <a:extLst>
            <a:ext uri="{FF2B5EF4-FFF2-40B4-BE49-F238E27FC236}">
              <a16:creationId xmlns:a16="http://schemas.microsoft.com/office/drawing/2014/main" id="{88CDE7C5-BBED-44B9-907F-CA7DF7073B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97968" y="0"/>
          <a:ext cx="7703343" cy="150018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FDD3DD-0B97-4109-9A9B-0C77C3FB6099}">
  <dimension ref="B3:U32"/>
  <sheetViews>
    <sheetView topLeftCell="A14" zoomScale="91" zoomScaleNormal="91" workbookViewId="0">
      <selection activeCell="O28" sqref="O28"/>
    </sheetView>
  </sheetViews>
  <sheetFormatPr defaultRowHeight="15" x14ac:dyDescent="0.25"/>
  <cols>
    <col min="2" max="2" width="1.7109375" bestFit="1" customWidth="1"/>
    <col min="3" max="3" width="25" customWidth="1"/>
    <col min="4" max="4" width="27.28515625" customWidth="1"/>
    <col min="5" max="5" width="13.140625" customWidth="1"/>
    <col min="6" max="6" width="13" customWidth="1"/>
    <col min="7" max="7" width="7.85546875" bestFit="1" customWidth="1"/>
    <col min="8" max="9" width="12.5703125" customWidth="1"/>
    <col min="10" max="10" width="13.28515625" customWidth="1"/>
    <col min="11" max="12" width="12.5703125" customWidth="1"/>
    <col min="13" max="13" width="12.42578125" customWidth="1"/>
    <col min="14" max="14" width="10.85546875" customWidth="1"/>
    <col min="15" max="15" width="9.85546875" bestFit="1" customWidth="1"/>
    <col min="19" max="19" width="11.5703125" customWidth="1"/>
    <col min="20" max="20" width="12.140625" bestFit="1" customWidth="1"/>
    <col min="21" max="21" width="12.85546875" customWidth="1"/>
  </cols>
  <sheetData>
    <row r="3" spans="3:21" x14ac:dyDescent="0.25">
      <c r="F3" s="1"/>
      <c r="N3" s="2"/>
      <c r="O3" s="2"/>
      <c r="P3" s="2"/>
    </row>
    <row r="4" spans="3:21" x14ac:dyDescent="0.25">
      <c r="F4" s="1"/>
      <c r="N4" s="2"/>
      <c r="O4" s="2"/>
      <c r="P4" s="2"/>
    </row>
    <row r="5" spans="3:21" x14ac:dyDescent="0.25">
      <c r="F5" s="1"/>
      <c r="N5" s="2"/>
      <c r="O5" s="2"/>
      <c r="P5" s="2"/>
    </row>
    <row r="6" spans="3:21" x14ac:dyDescent="0.25">
      <c r="F6" s="1"/>
      <c r="N6" s="2"/>
      <c r="O6" s="2"/>
      <c r="P6" s="2"/>
    </row>
    <row r="7" spans="3:21" x14ac:dyDescent="0.25">
      <c r="F7" s="1"/>
      <c r="N7" s="2"/>
      <c r="O7" s="2"/>
      <c r="P7" s="2"/>
    </row>
    <row r="8" spans="3:21" x14ac:dyDescent="0.25">
      <c r="F8" s="1"/>
      <c r="N8" s="2"/>
      <c r="O8" s="2"/>
      <c r="P8" s="2"/>
    </row>
    <row r="9" spans="3:21" x14ac:dyDescent="0.25">
      <c r="F9" s="1"/>
      <c r="N9" s="2"/>
      <c r="O9" s="2"/>
      <c r="P9" s="2"/>
    </row>
    <row r="10" spans="3:21" x14ac:dyDescent="0.25">
      <c r="C10" s="287" t="s">
        <v>0</v>
      </c>
      <c r="D10" s="287"/>
      <c r="E10" s="287"/>
      <c r="F10" s="287"/>
      <c r="G10" s="287"/>
      <c r="H10" s="287"/>
      <c r="I10" s="287"/>
      <c r="J10" s="287"/>
      <c r="K10" s="287"/>
      <c r="L10" s="287"/>
      <c r="M10" s="287"/>
      <c r="N10" s="287"/>
      <c r="O10" s="287"/>
      <c r="P10" s="287"/>
      <c r="Q10" s="287"/>
    </row>
    <row r="11" spans="3:21" ht="24.75" customHeight="1" x14ac:dyDescent="0.25">
      <c r="C11" s="288" t="s">
        <v>1</v>
      </c>
      <c r="D11" s="289" t="s">
        <v>2</v>
      </c>
      <c r="E11" s="289" t="s">
        <v>3</v>
      </c>
      <c r="F11" s="6" t="s">
        <v>4</v>
      </c>
      <c r="G11" s="290" t="s">
        <v>5</v>
      </c>
      <c r="H11" s="290" t="s">
        <v>6</v>
      </c>
      <c r="I11" s="290"/>
      <c r="J11" s="290"/>
      <c r="K11" s="290"/>
      <c r="L11" s="291" t="s">
        <v>46</v>
      </c>
      <c r="M11" s="290" t="s">
        <v>7</v>
      </c>
      <c r="N11" s="293" t="s">
        <v>43</v>
      </c>
      <c r="O11" s="294" t="s">
        <v>45</v>
      </c>
      <c r="P11" s="296" t="s">
        <v>44</v>
      </c>
      <c r="Q11" s="297" t="s">
        <v>8</v>
      </c>
    </row>
    <row r="12" spans="3:21" ht="47.25" x14ac:dyDescent="0.25">
      <c r="C12" s="288"/>
      <c r="D12" s="289"/>
      <c r="E12" s="289"/>
      <c r="F12" s="3">
        <f>SUM(F13:F22)</f>
        <v>89722</v>
      </c>
      <c r="G12" s="290"/>
      <c r="H12" s="3" t="s">
        <v>9</v>
      </c>
      <c r="I12" s="3" t="s">
        <v>10</v>
      </c>
      <c r="J12" s="3" t="s">
        <v>11</v>
      </c>
      <c r="K12" s="3" t="s">
        <v>12</v>
      </c>
      <c r="L12" s="292"/>
      <c r="M12" s="290"/>
      <c r="N12" s="293"/>
      <c r="O12" s="295"/>
      <c r="P12" s="296"/>
      <c r="Q12" s="297"/>
      <c r="T12" s="46" t="s">
        <v>47</v>
      </c>
      <c r="U12" s="46" t="s">
        <v>48</v>
      </c>
    </row>
    <row r="13" spans="3:21" ht="32.25" customHeight="1" x14ac:dyDescent="0.25">
      <c r="C13" s="7" t="s">
        <v>13</v>
      </c>
      <c r="D13" s="8" t="s">
        <v>14</v>
      </c>
      <c r="E13" s="9" t="s">
        <v>15</v>
      </c>
      <c r="F13" s="3">
        <v>67390</v>
      </c>
      <c r="G13" s="3"/>
      <c r="H13" s="10">
        <v>13798.5</v>
      </c>
      <c r="I13" s="10">
        <v>13798.5</v>
      </c>
      <c r="J13" s="10">
        <v>9199</v>
      </c>
      <c r="K13" s="10">
        <v>0</v>
      </c>
      <c r="L13" s="10">
        <v>3515</v>
      </c>
      <c r="M13" s="17">
        <f>SUM(H13:L13)</f>
        <v>40311</v>
      </c>
      <c r="N13" s="18">
        <f>SUM(M13/F12)</f>
        <v>0.44928780009362251</v>
      </c>
      <c r="O13" s="16">
        <f t="shared" ref="O13:O22" si="0">F13-M13</f>
        <v>27079</v>
      </c>
      <c r="P13" s="18">
        <f>O13/F12</f>
        <v>0.30181003544281226</v>
      </c>
      <c r="Q13" s="19">
        <f>P13+N13</f>
        <v>0.75109783553643483</v>
      </c>
      <c r="S13" s="15"/>
      <c r="T13" s="44">
        <f>F13</f>
        <v>67390</v>
      </c>
      <c r="U13" s="45">
        <f>H13</f>
        <v>13798.5</v>
      </c>
    </row>
    <row r="14" spans="3:21" ht="32.25" customHeight="1" x14ac:dyDescent="0.25">
      <c r="C14" s="7" t="s">
        <v>13</v>
      </c>
      <c r="D14" s="7" t="s">
        <v>16</v>
      </c>
      <c r="E14" s="11" t="s">
        <v>17</v>
      </c>
      <c r="F14" s="12">
        <v>3000</v>
      </c>
      <c r="G14" s="12"/>
      <c r="H14" s="13">
        <v>200</v>
      </c>
      <c r="I14" s="13">
        <v>250</v>
      </c>
      <c r="J14" s="13">
        <v>250</v>
      </c>
      <c r="K14" s="13">
        <v>0</v>
      </c>
      <c r="L14" s="13"/>
      <c r="M14" s="17">
        <f>SUM(H14:K14)</f>
        <v>700</v>
      </c>
      <c r="N14" s="18">
        <f>M14/F12</f>
        <v>7.8018769086734578E-3</v>
      </c>
      <c r="O14" s="16">
        <f t="shared" si="0"/>
        <v>2300</v>
      </c>
      <c r="P14" s="18">
        <f>O14/F12</f>
        <v>2.563473841421279E-2</v>
      </c>
      <c r="Q14" s="20">
        <f>P14+N14</f>
        <v>3.3436615322886248E-2</v>
      </c>
    </row>
    <row r="15" spans="3:21" ht="32.25" customHeight="1" x14ac:dyDescent="0.25">
      <c r="C15" s="7" t="s">
        <v>13</v>
      </c>
      <c r="D15" s="7" t="s">
        <v>18</v>
      </c>
      <c r="E15" s="11" t="s">
        <v>19</v>
      </c>
      <c r="F15" s="12">
        <v>1000</v>
      </c>
      <c r="G15" s="12"/>
      <c r="H15" s="13"/>
      <c r="I15" s="13">
        <v>250</v>
      </c>
      <c r="J15" s="13">
        <v>250</v>
      </c>
      <c r="K15" s="13">
        <v>0</v>
      </c>
      <c r="L15" s="13"/>
      <c r="M15" s="17">
        <f>SUM(H15:K15)</f>
        <v>500</v>
      </c>
      <c r="N15" s="18">
        <f>M15/F12</f>
        <v>5.5727692204810414E-3</v>
      </c>
      <c r="O15" s="16">
        <f t="shared" si="0"/>
        <v>500</v>
      </c>
      <c r="P15" s="18">
        <f>O15/F12</f>
        <v>5.5727692204810414E-3</v>
      </c>
      <c r="Q15" s="20">
        <f t="shared" ref="Q15:Q22" si="1">P15+N15</f>
        <v>1.1145538440962083E-2</v>
      </c>
    </row>
    <row r="16" spans="3:21" ht="32.25" customHeight="1" x14ac:dyDescent="0.25">
      <c r="C16" s="7" t="s">
        <v>13</v>
      </c>
      <c r="D16" s="7" t="s">
        <v>20</v>
      </c>
      <c r="E16" s="11" t="s">
        <v>21</v>
      </c>
      <c r="F16" s="12">
        <v>2000</v>
      </c>
      <c r="G16" s="12"/>
      <c r="H16" s="13">
        <v>500</v>
      </c>
      <c r="I16" s="13">
        <v>500</v>
      </c>
      <c r="J16" s="13">
        <v>0</v>
      </c>
      <c r="K16" s="13">
        <v>0</v>
      </c>
      <c r="L16" s="13"/>
      <c r="M16" s="17">
        <f>SUM(H16:K16)</f>
        <v>1000</v>
      </c>
      <c r="N16" s="18">
        <f>M16/F12</f>
        <v>1.1145538440962083E-2</v>
      </c>
      <c r="O16" s="16">
        <f t="shared" si="0"/>
        <v>1000</v>
      </c>
      <c r="P16" s="18">
        <f>O16/F12</f>
        <v>1.1145538440962083E-2</v>
      </c>
      <c r="Q16" s="20">
        <f t="shared" si="1"/>
        <v>2.2291076881924166E-2</v>
      </c>
    </row>
    <row r="17" spans="2:17" ht="32.25" customHeight="1" x14ac:dyDescent="0.25">
      <c r="C17" s="7" t="s">
        <v>13</v>
      </c>
      <c r="D17" s="7" t="s">
        <v>22</v>
      </c>
      <c r="E17" s="11" t="s">
        <v>23</v>
      </c>
      <c r="F17" s="12">
        <v>2548</v>
      </c>
      <c r="G17" s="12"/>
      <c r="H17" s="13">
        <v>637</v>
      </c>
      <c r="I17" s="13">
        <v>637</v>
      </c>
      <c r="J17" s="13">
        <v>637</v>
      </c>
      <c r="K17" s="13">
        <v>0</v>
      </c>
      <c r="L17" s="13"/>
      <c r="M17" s="17">
        <f>SUM(H17:K17)</f>
        <v>1911</v>
      </c>
      <c r="N17" s="18">
        <f>M17/F12</f>
        <v>2.129912396067854E-2</v>
      </c>
      <c r="O17" s="16">
        <f t="shared" si="0"/>
        <v>637</v>
      </c>
      <c r="P17" s="18">
        <f>O17/F12</f>
        <v>7.0997079868928472E-3</v>
      </c>
      <c r="Q17" s="20">
        <f t="shared" si="1"/>
        <v>2.8398831947571389E-2</v>
      </c>
    </row>
    <row r="18" spans="2:17" ht="32.25" customHeight="1" x14ac:dyDescent="0.25">
      <c r="C18" s="7" t="s">
        <v>13</v>
      </c>
      <c r="D18" s="7" t="s">
        <v>24</v>
      </c>
      <c r="E18" s="11" t="s">
        <v>25</v>
      </c>
      <c r="F18" s="12">
        <v>1200</v>
      </c>
      <c r="G18" s="12"/>
      <c r="H18" s="14">
        <v>0</v>
      </c>
      <c r="I18" s="14">
        <v>0</v>
      </c>
      <c r="J18" s="14">
        <v>0</v>
      </c>
      <c r="K18" s="14">
        <v>0</v>
      </c>
      <c r="L18" s="14"/>
      <c r="M18" s="17">
        <f t="shared" ref="M18" si="2">SUM(H18:K18)</f>
        <v>0</v>
      </c>
      <c r="N18" s="18">
        <v>0</v>
      </c>
      <c r="O18" s="16">
        <f t="shared" si="0"/>
        <v>1200</v>
      </c>
      <c r="P18" s="18">
        <f>O18/F12</f>
        <v>1.33746461291545E-2</v>
      </c>
      <c r="Q18" s="20">
        <f t="shared" si="1"/>
        <v>1.33746461291545E-2</v>
      </c>
    </row>
    <row r="19" spans="2:17" ht="32.25" customHeight="1" x14ac:dyDescent="0.25">
      <c r="C19" s="7" t="s">
        <v>13</v>
      </c>
      <c r="D19" s="7" t="s">
        <v>26</v>
      </c>
      <c r="E19" s="11" t="s">
        <v>27</v>
      </c>
      <c r="F19" s="12">
        <v>3000</v>
      </c>
      <c r="G19" s="12"/>
      <c r="H19" s="13">
        <v>740</v>
      </c>
      <c r="I19" s="13">
        <v>760</v>
      </c>
      <c r="J19" s="13">
        <v>740</v>
      </c>
      <c r="K19" s="13">
        <v>0</v>
      </c>
      <c r="L19" s="13"/>
      <c r="M19" s="17">
        <f>SUM(H19:K19)</f>
        <v>2240</v>
      </c>
      <c r="N19" s="18">
        <f>M19/F12</f>
        <v>2.4966006107755064E-2</v>
      </c>
      <c r="O19" s="16">
        <f t="shared" si="0"/>
        <v>760</v>
      </c>
      <c r="P19" s="18">
        <f>O19/F12</f>
        <v>8.4706092151311824E-3</v>
      </c>
      <c r="Q19" s="20">
        <f t="shared" si="1"/>
        <v>3.3436615322886248E-2</v>
      </c>
    </row>
    <row r="20" spans="2:17" ht="32.25" customHeight="1" x14ac:dyDescent="0.25">
      <c r="C20" s="7" t="s">
        <v>13</v>
      </c>
      <c r="D20" s="7" t="s">
        <v>28</v>
      </c>
      <c r="E20" s="11" t="s">
        <v>29</v>
      </c>
      <c r="F20" s="12">
        <v>5304</v>
      </c>
      <c r="G20" s="12"/>
      <c r="H20" s="13">
        <f>136*3*2</f>
        <v>816</v>
      </c>
      <c r="I20" s="13">
        <f>136*3*3</f>
        <v>1224</v>
      </c>
      <c r="J20" s="13">
        <f>136*3*2</f>
        <v>816</v>
      </c>
      <c r="K20" s="13">
        <v>0</v>
      </c>
      <c r="L20" s="13"/>
      <c r="M20" s="17">
        <f>SUM(H20:K20)</f>
        <v>2856</v>
      </c>
      <c r="N20" s="18">
        <f>M20/F12</f>
        <v>3.183165778738771E-2</v>
      </c>
      <c r="O20" s="16">
        <f t="shared" si="0"/>
        <v>2448</v>
      </c>
      <c r="P20" s="18">
        <f>O20/F12</f>
        <v>2.7284278103475178E-2</v>
      </c>
      <c r="Q20" s="20">
        <f t="shared" si="1"/>
        <v>5.9115935890862892E-2</v>
      </c>
    </row>
    <row r="21" spans="2:17" ht="32.25" customHeight="1" x14ac:dyDescent="0.25">
      <c r="C21" s="7" t="s">
        <v>13</v>
      </c>
      <c r="D21" s="7" t="s">
        <v>30</v>
      </c>
      <c r="E21" s="11" t="s">
        <v>31</v>
      </c>
      <c r="F21" s="12">
        <v>2280</v>
      </c>
      <c r="G21" s="12"/>
      <c r="H21" s="13">
        <v>570</v>
      </c>
      <c r="I21" s="13">
        <v>570</v>
      </c>
      <c r="J21" s="13">
        <v>570</v>
      </c>
      <c r="K21" s="13">
        <v>0</v>
      </c>
      <c r="L21" s="13"/>
      <c r="M21" s="17">
        <f>SUM(H21:K21)</f>
        <v>1710</v>
      </c>
      <c r="N21" s="18">
        <f>M21/F12</f>
        <v>1.905887073404516E-2</v>
      </c>
      <c r="O21" s="16">
        <f t="shared" si="0"/>
        <v>570</v>
      </c>
      <c r="P21" s="18">
        <f>O21/F12</f>
        <v>6.3529569113483873E-3</v>
      </c>
      <c r="Q21" s="20">
        <f t="shared" si="1"/>
        <v>2.5411827645393549E-2</v>
      </c>
    </row>
    <row r="22" spans="2:17" ht="32.25" customHeight="1" x14ac:dyDescent="0.25">
      <c r="C22" s="7" t="s">
        <v>13</v>
      </c>
      <c r="D22" s="7" t="s">
        <v>32</v>
      </c>
      <c r="E22" s="11" t="s">
        <v>33</v>
      </c>
      <c r="F22" s="12">
        <v>2000</v>
      </c>
      <c r="G22" s="12"/>
      <c r="H22" s="13">
        <v>500</v>
      </c>
      <c r="I22" s="13">
        <v>500</v>
      </c>
      <c r="J22" s="13">
        <v>0</v>
      </c>
      <c r="K22" s="13">
        <v>0</v>
      </c>
      <c r="L22" s="13"/>
      <c r="M22" s="17">
        <f>SUM(H22:K22)</f>
        <v>1000</v>
      </c>
      <c r="N22" s="18">
        <f>M22/F12</f>
        <v>1.1145538440962083E-2</v>
      </c>
      <c r="O22" s="16">
        <f t="shared" si="0"/>
        <v>1000</v>
      </c>
      <c r="P22" s="18">
        <f>O22/F12</f>
        <v>1.1145538440962083E-2</v>
      </c>
      <c r="Q22" s="20">
        <f t="shared" si="1"/>
        <v>2.2291076881924166E-2</v>
      </c>
    </row>
    <row r="23" spans="2:17" ht="32.25" customHeight="1" x14ac:dyDescent="0.25">
      <c r="C23" s="280" t="s">
        <v>34</v>
      </c>
      <c r="D23" s="281"/>
      <c r="E23" s="281"/>
      <c r="F23" s="281"/>
      <c r="G23" s="282"/>
      <c r="H23" s="3">
        <f>SUM(H13:H22)</f>
        <v>17761.5</v>
      </c>
      <c r="I23" s="3">
        <f>SUM(I13:I22)</f>
        <v>18489.5</v>
      </c>
      <c r="J23" s="3">
        <f>SUM(J13:J22)</f>
        <v>12462</v>
      </c>
      <c r="K23" s="3">
        <v>0</v>
      </c>
      <c r="L23" s="3"/>
      <c r="M23" s="17">
        <f>SUM(M13:M22)</f>
        <v>52228</v>
      </c>
      <c r="N23" s="18">
        <f>SUM(N13:N22)</f>
        <v>0.5821091816945676</v>
      </c>
      <c r="O23" s="16">
        <f>SUM(O13:O22)</f>
        <v>37494</v>
      </c>
      <c r="P23" s="18">
        <f>SUM(P13:P22)</f>
        <v>0.4178908183054324</v>
      </c>
      <c r="Q23" s="21">
        <f>SUM(Q13:Q22)</f>
        <v>1</v>
      </c>
    </row>
    <row r="24" spans="2:17" ht="32.25" customHeight="1" x14ac:dyDescent="0.35">
      <c r="C24" s="280" t="s">
        <v>34</v>
      </c>
      <c r="D24" s="281"/>
      <c r="E24" s="281"/>
      <c r="F24" s="281"/>
      <c r="G24" s="281"/>
      <c r="H24" s="281"/>
      <c r="I24" s="281"/>
      <c r="J24" s="281"/>
      <c r="K24" s="282"/>
      <c r="L24" s="22"/>
      <c r="M24" s="275">
        <f>M23+O23</f>
        <v>89722</v>
      </c>
      <c r="N24" s="276"/>
      <c r="O24" s="276"/>
      <c r="P24" s="276"/>
      <c r="Q24" s="277"/>
    </row>
    <row r="25" spans="2:17" x14ac:dyDescent="0.25">
      <c r="F25" s="1"/>
      <c r="H25" s="15"/>
      <c r="M25" s="15"/>
      <c r="N25" s="2"/>
      <c r="O25" s="2"/>
      <c r="P25" s="2"/>
    </row>
    <row r="26" spans="2:17" x14ac:dyDescent="0.25">
      <c r="F26" s="1"/>
      <c r="N26" s="2"/>
      <c r="O26" s="2"/>
      <c r="P26" s="2"/>
    </row>
    <row r="27" spans="2:17" ht="15.75" x14ac:dyDescent="0.25">
      <c r="B27" t="s">
        <v>35</v>
      </c>
      <c r="C27" s="283" t="s">
        <v>36</v>
      </c>
      <c r="D27" s="283"/>
      <c r="F27" s="1"/>
      <c r="I27" s="279" t="s">
        <v>37</v>
      </c>
      <c r="J27" s="279"/>
      <c r="K27" s="279"/>
      <c r="L27" s="279"/>
      <c r="M27" s="279"/>
      <c r="N27" s="279"/>
      <c r="O27" s="4"/>
      <c r="P27" s="4"/>
    </row>
    <row r="28" spans="2:17" ht="15.75" x14ac:dyDescent="0.25">
      <c r="C28" s="284" t="s">
        <v>38</v>
      </c>
      <c r="D28" s="284"/>
      <c r="F28" s="1"/>
      <c r="N28" s="2"/>
      <c r="O28" s="2"/>
      <c r="P28" s="2"/>
    </row>
    <row r="29" spans="2:17" x14ac:dyDescent="0.25">
      <c r="F29" s="1"/>
      <c r="N29" s="2"/>
      <c r="O29" s="2"/>
      <c r="P29" s="2"/>
    </row>
    <row r="30" spans="2:17" x14ac:dyDescent="0.25">
      <c r="F30" s="1"/>
      <c r="N30" s="2"/>
      <c r="O30" s="2"/>
      <c r="P30" s="2"/>
    </row>
    <row r="31" spans="2:17" ht="15.75" x14ac:dyDescent="0.25">
      <c r="C31" s="285" t="s">
        <v>39</v>
      </c>
      <c r="D31" s="284"/>
      <c r="F31" s="1"/>
      <c r="I31" s="286" t="s">
        <v>40</v>
      </c>
      <c r="J31" s="286"/>
      <c r="K31" s="286"/>
      <c r="L31" s="286"/>
      <c r="M31" s="286"/>
      <c r="N31" s="286"/>
      <c r="O31" s="5"/>
      <c r="P31" s="5"/>
    </row>
    <row r="32" spans="2:17" x14ac:dyDescent="0.25">
      <c r="C32" s="278" t="s">
        <v>41</v>
      </c>
      <c r="D32" s="278"/>
      <c r="F32" s="1"/>
      <c r="I32" s="279" t="s">
        <v>42</v>
      </c>
      <c r="J32" s="279"/>
      <c r="K32" s="279"/>
      <c r="L32" s="279"/>
      <c r="M32" s="279"/>
      <c r="N32" s="279"/>
      <c r="O32" s="4"/>
      <c r="P32" s="4"/>
    </row>
  </sheetData>
  <mergeCells count="22">
    <mergeCell ref="C10:Q10"/>
    <mergeCell ref="C11:C12"/>
    <mergeCell ref="D11:D12"/>
    <mergeCell ref="E11:E12"/>
    <mergeCell ref="G11:G12"/>
    <mergeCell ref="H11:K11"/>
    <mergeCell ref="L11:L12"/>
    <mergeCell ref="M11:M12"/>
    <mergeCell ref="N11:N12"/>
    <mergeCell ref="O11:O12"/>
    <mergeCell ref="P11:P12"/>
    <mergeCell ref="Q11:Q12"/>
    <mergeCell ref="M24:Q24"/>
    <mergeCell ref="C32:D32"/>
    <mergeCell ref="I32:N32"/>
    <mergeCell ref="C23:G23"/>
    <mergeCell ref="C24:K24"/>
    <mergeCell ref="C27:D27"/>
    <mergeCell ref="I27:N27"/>
    <mergeCell ref="C28:D28"/>
    <mergeCell ref="C31:D31"/>
    <mergeCell ref="I31:N31"/>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253D1D-C3BC-4DFD-AFEA-8CC904D14426}">
  <dimension ref="B3:U32"/>
  <sheetViews>
    <sheetView topLeftCell="A12" zoomScale="91" zoomScaleNormal="91" workbookViewId="0">
      <selection activeCell="C24" sqref="C24:K24"/>
    </sheetView>
  </sheetViews>
  <sheetFormatPr defaultRowHeight="15" x14ac:dyDescent="0.25"/>
  <cols>
    <col min="2" max="2" width="1.7109375" bestFit="1" customWidth="1"/>
    <col min="3" max="3" width="25" customWidth="1"/>
    <col min="4" max="4" width="27.28515625" customWidth="1"/>
    <col min="5" max="5" width="13.140625" customWidth="1"/>
    <col min="6" max="6" width="13" customWidth="1"/>
    <col min="7" max="7" width="7.85546875" bestFit="1" customWidth="1"/>
    <col min="8" max="9" width="12.5703125" customWidth="1"/>
    <col min="10" max="10" width="13.28515625" customWidth="1"/>
    <col min="11" max="12" width="12.5703125" customWidth="1"/>
    <col min="13" max="13" width="12.42578125" customWidth="1"/>
    <col min="14" max="14" width="10.85546875" customWidth="1"/>
    <col min="15" max="15" width="9.85546875" bestFit="1" customWidth="1"/>
    <col min="19" max="19" width="11.5703125" customWidth="1"/>
    <col min="20" max="20" width="12.140625" bestFit="1" customWidth="1"/>
    <col min="21" max="21" width="12.85546875" customWidth="1"/>
  </cols>
  <sheetData>
    <row r="3" spans="3:21" x14ac:dyDescent="0.25">
      <c r="F3" s="1"/>
      <c r="N3" s="2"/>
      <c r="O3" s="2"/>
      <c r="P3" s="2"/>
    </row>
    <row r="4" spans="3:21" x14ac:dyDescent="0.25">
      <c r="F4" s="1"/>
      <c r="N4" s="2"/>
      <c r="O4" s="2"/>
      <c r="P4" s="2"/>
    </row>
    <row r="5" spans="3:21" x14ac:dyDescent="0.25">
      <c r="F5" s="1"/>
      <c r="N5" s="2"/>
      <c r="O5" s="2"/>
      <c r="P5" s="2"/>
    </row>
    <row r="6" spans="3:21" x14ac:dyDescent="0.25">
      <c r="F6" s="1"/>
      <c r="N6" s="2"/>
      <c r="O6" s="2"/>
      <c r="P6" s="2"/>
    </row>
    <row r="7" spans="3:21" x14ac:dyDescent="0.25">
      <c r="F7" s="1"/>
      <c r="N7" s="2"/>
      <c r="O7" s="2"/>
      <c r="P7" s="2"/>
    </row>
    <row r="8" spans="3:21" x14ac:dyDescent="0.25">
      <c r="F8" s="1"/>
      <c r="N8" s="2"/>
      <c r="O8" s="2"/>
      <c r="P8" s="2"/>
    </row>
    <row r="9" spans="3:21" x14ac:dyDescent="0.25">
      <c r="F9" s="1"/>
      <c r="N9" s="2"/>
      <c r="O9" s="2"/>
      <c r="P9" s="2"/>
    </row>
    <row r="10" spans="3:21" x14ac:dyDescent="0.25">
      <c r="C10" s="287" t="s">
        <v>0</v>
      </c>
      <c r="D10" s="287"/>
      <c r="E10" s="287"/>
      <c r="F10" s="287"/>
      <c r="G10" s="287"/>
      <c r="H10" s="287"/>
      <c r="I10" s="287"/>
      <c r="J10" s="287"/>
      <c r="K10" s="287"/>
      <c r="L10" s="287"/>
      <c r="M10" s="287"/>
      <c r="N10" s="287"/>
      <c r="O10" s="287"/>
      <c r="P10" s="287"/>
      <c r="Q10" s="287"/>
    </row>
    <row r="11" spans="3:21" ht="24.75" customHeight="1" x14ac:dyDescent="0.25">
      <c r="C11" s="288" t="s">
        <v>1</v>
      </c>
      <c r="D11" s="289" t="s">
        <v>2</v>
      </c>
      <c r="E11" s="289" t="s">
        <v>3</v>
      </c>
      <c r="F11" s="6" t="s">
        <v>4</v>
      </c>
      <c r="G11" s="290" t="s">
        <v>5</v>
      </c>
      <c r="H11" s="290" t="s">
        <v>6</v>
      </c>
      <c r="I11" s="290"/>
      <c r="J11" s="290"/>
      <c r="K11" s="290"/>
      <c r="L11" s="291" t="s">
        <v>46</v>
      </c>
      <c r="M11" s="290" t="s">
        <v>7</v>
      </c>
      <c r="N11" s="293" t="s">
        <v>43</v>
      </c>
      <c r="O11" s="294" t="s">
        <v>45</v>
      </c>
      <c r="P11" s="296" t="s">
        <v>44</v>
      </c>
      <c r="Q11" s="297" t="s">
        <v>8</v>
      </c>
    </row>
    <row r="12" spans="3:21" ht="47.25" x14ac:dyDescent="0.25">
      <c r="C12" s="288"/>
      <c r="D12" s="289"/>
      <c r="E12" s="289"/>
      <c r="F12" s="3">
        <f>SUM(F13:F22)</f>
        <v>89722</v>
      </c>
      <c r="G12" s="290"/>
      <c r="H12" s="3" t="s">
        <v>9</v>
      </c>
      <c r="I12" s="3" t="s">
        <v>10</v>
      </c>
      <c r="J12" s="3" t="s">
        <v>11</v>
      </c>
      <c r="K12" s="3" t="s">
        <v>12</v>
      </c>
      <c r="L12" s="292"/>
      <c r="M12" s="290"/>
      <c r="N12" s="293"/>
      <c r="O12" s="295"/>
      <c r="P12" s="296"/>
      <c r="Q12" s="297"/>
      <c r="T12" s="46" t="s">
        <v>47</v>
      </c>
      <c r="U12" s="46" t="s">
        <v>48</v>
      </c>
    </row>
    <row r="13" spans="3:21" ht="32.25" customHeight="1" x14ac:dyDescent="0.25">
      <c r="C13" s="7" t="s">
        <v>13</v>
      </c>
      <c r="D13" s="8" t="s">
        <v>14</v>
      </c>
      <c r="E13" s="9" t="s">
        <v>15</v>
      </c>
      <c r="F13" s="3">
        <v>67390</v>
      </c>
      <c r="G13" s="3"/>
      <c r="H13" s="10">
        <v>13798.5</v>
      </c>
      <c r="I13" s="10">
        <v>13798.5</v>
      </c>
      <c r="J13" s="10">
        <v>9199</v>
      </c>
      <c r="K13" s="10">
        <v>0</v>
      </c>
      <c r="L13" s="10">
        <v>3515</v>
      </c>
      <c r="M13" s="17">
        <f>SUM(H13:L13)</f>
        <v>40311</v>
      </c>
      <c r="N13" s="18">
        <f>SUM(M13/F12)</f>
        <v>0.44928780009362251</v>
      </c>
      <c r="O13" s="16">
        <f t="shared" ref="O13:O22" si="0">F13-M13</f>
        <v>27079</v>
      </c>
      <c r="P13" s="18">
        <f>O13/F12</f>
        <v>0.30181003544281226</v>
      </c>
      <c r="Q13" s="19">
        <f>P13+N13</f>
        <v>0.75109783553643483</v>
      </c>
      <c r="S13" s="15"/>
      <c r="T13" s="44">
        <f>F13</f>
        <v>67390</v>
      </c>
      <c r="U13" s="45">
        <f>H13</f>
        <v>13798.5</v>
      </c>
    </row>
    <row r="14" spans="3:21" ht="32.25" customHeight="1" x14ac:dyDescent="0.25">
      <c r="C14" s="7" t="s">
        <v>13</v>
      </c>
      <c r="D14" s="7" t="s">
        <v>16</v>
      </c>
      <c r="E14" s="11" t="s">
        <v>17</v>
      </c>
      <c r="F14" s="12">
        <v>3000</v>
      </c>
      <c r="G14" s="12"/>
      <c r="H14" s="13">
        <v>200</v>
      </c>
      <c r="I14" s="13">
        <v>250</v>
      </c>
      <c r="J14" s="13">
        <v>250</v>
      </c>
      <c r="K14" s="13">
        <v>0</v>
      </c>
      <c r="L14" s="13"/>
      <c r="M14" s="17">
        <f>SUM(H14:K14)</f>
        <v>700</v>
      </c>
      <c r="N14" s="18">
        <f>M14/F12</f>
        <v>7.8018769086734578E-3</v>
      </c>
      <c r="O14" s="16">
        <f t="shared" si="0"/>
        <v>2300</v>
      </c>
      <c r="P14" s="18">
        <f>O14/F12</f>
        <v>2.563473841421279E-2</v>
      </c>
      <c r="Q14" s="20">
        <f>P14+N14</f>
        <v>3.3436615322886248E-2</v>
      </c>
    </row>
    <row r="15" spans="3:21" ht="32.25" customHeight="1" x14ac:dyDescent="0.25">
      <c r="C15" s="7" t="s">
        <v>13</v>
      </c>
      <c r="D15" s="7" t="s">
        <v>18</v>
      </c>
      <c r="E15" s="11" t="s">
        <v>19</v>
      </c>
      <c r="F15" s="12">
        <v>1000</v>
      </c>
      <c r="G15" s="12"/>
      <c r="H15" s="13"/>
      <c r="I15" s="13">
        <v>250</v>
      </c>
      <c r="J15" s="13">
        <v>250</v>
      </c>
      <c r="K15" s="13">
        <v>0</v>
      </c>
      <c r="L15" s="13"/>
      <c r="M15" s="17">
        <f>SUM(H15:K15)</f>
        <v>500</v>
      </c>
      <c r="N15" s="18">
        <f>M15/F12</f>
        <v>5.5727692204810414E-3</v>
      </c>
      <c r="O15" s="16">
        <f t="shared" si="0"/>
        <v>500</v>
      </c>
      <c r="P15" s="18">
        <f>O15/F12</f>
        <v>5.5727692204810414E-3</v>
      </c>
      <c r="Q15" s="20">
        <f t="shared" ref="Q15:Q22" si="1">P15+N15</f>
        <v>1.1145538440962083E-2</v>
      </c>
    </row>
    <row r="16" spans="3:21" ht="32.25" customHeight="1" x14ac:dyDescent="0.25">
      <c r="C16" s="7" t="s">
        <v>13</v>
      </c>
      <c r="D16" s="7" t="s">
        <v>20</v>
      </c>
      <c r="E16" s="11" t="s">
        <v>21</v>
      </c>
      <c r="F16" s="12">
        <v>2000</v>
      </c>
      <c r="G16" s="12"/>
      <c r="H16" s="13">
        <v>500</v>
      </c>
      <c r="I16" s="13">
        <v>500</v>
      </c>
      <c r="J16" s="13">
        <v>0</v>
      </c>
      <c r="K16" s="13">
        <v>0</v>
      </c>
      <c r="L16" s="13"/>
      <c r="M16" s="17">
        <f>SUM(H16:K16)</f>
        <v>1000</v>
      </c>
      <c r="N16" s="18">
        <f>M16/F12</f>
        <v>1.1145538440962083E-2</v>
      </c>
      <c r="O16" s="16">
        <f t="shared" si="0"/>
        <v>1000</v>
      </c>
      <c r="P16" s="18">
        <f>O16/F12</f>
        <v>1.1145538440962083E-2</v>
      </c>
      <c r="Q16" s="20">
        <f t="shared" si="1"/>
        <v>2.2291076881924166E-2</v>
      </c>
    </row>
    <row r="17" spans="2:17" ht="32.25" customHeight="1" x14ac:dyDescent="0.25">
      <c r="C17" s="7" t="s">
        <v>13</v>
      </c>
      <c r="D17" s="7" t="s">
        <v>22</v>
      </c>
      <c r="E17" s="11" t="s">
        <v>23</v>
      </c>
      <c r="F17" s="12">
        <v>2548</v>
      </c>
      <c r="G17" s="12"/>
      <c r="H17" s="13">
        <v>637</v>
      </c>
      <c r="I17" s="13">
        <v>637</v>
      </c>
      <c r="J17" s="13">
        <v>637</v>
      </c>
      <c r="K17" s="13">
        <v>0</v>
      </c>
      <c r="L17" s="13"/>
      <c r="M17" s="17">
        <f>SUM(H17:K17)</f>
        <v>1911</v>
      </c>
      <c r="N17" s="18">
        <f>M17/F12</f>
        <v>2.129912396067854E-2</v>
      </c>
      <c r="O17" s="16">
        <f t="shared" si="0"/>
        <v>637</v>
      </c>
      <c r="P17" s="18">
        <f>O17/F12</f>
        <v>7.0997079868928472E-3</v>
      </c>
      <c r="Q17" s="20">
        <f t="shared" si="1"/>
        <v>2.8398831947571389E-2</v>
      </c>
    </row>
    <row r="18" spans="2:17" ht="32.25" customHeight="1" x14ac:dyDescent="0.25">
      <c r="C18" s="7" t="s">
        <v>13</v>
      </c>
      <c r="D18" s="7" t="s">
        <v>24</v>
      </c>
      <c r="E18" s="11" t="s">
        <v>25</v>
      </c>
      <c r="F18" s="12">
        <v>1200</v>
      </c>
      <c r="G18" s="12"/>
      <c r="H18" s="14">
        <v>0</v>
      </c>
      <c r="I18" s="14">
        <v>0</v>
      </c>
      <c r="J18" s="14">
        <v>0</v>
      </c>
      <c r="K18" s="14">
        <v>0</v>
      </c>
      <c r="L18" s="14"/>
      <c r="M18" s="17">
        <f t="shared" ref="M18" si="2">SUM(H18:K18)</f>
        <v>0</v>
      </c>
      <c r="N18" s="18">
        <v>0</v>
      </c>
      <c r="O18" s="16">
        <f t="shared" si="0"/>
        <v>1200</v>
      </c>
      <c r="P18" s="18">
        <f>O18/F12</f>
        <v>1.33746461291545E-2</v>
      </c>
      <c r="Q18" s="20">
        <f t="shared" si="1"/>
        <v>1.33746461291545E-2</v>
      </c>
    </row>
    <row r="19" spans="2:17" ht="32.25" customHeight="1" x14ac:dyDescent="0.25">
      <c r="C19" s="7" t="s">
        <v>13</v>
      </c>
      <c r="D19" s="7" t="s">
        <v>26</v>
      </c>
      <c r="E19" s="11" t="s">
        <v>27</v>
      </c>
      <c r="F19" s="12">
        <v>3000</v>
      </c>
      <c r="G19" s="12"/>
      <c r="H19" s="13">
        <v>740</v>
      </c>
      <c r="I19" s="13">
        <v>760</v>
      </c>
      <c r="J19" s="13">
        <v>740</v>
      </c>
      <c r="K19" s="13">
        <v>0</v>
      </c>
      <c r="L19" s="13"/>
      <c r="M19" s="17">
        <f>SUM(H19:K19)</f>
        <v>2240</v>
      </c>
      <c r="N19" s="18">
        <f>M19/F12</f>
        <v>2.4966006107755064E-2</v>
      </c>
      <c r="O19" s="16">
        <f t="shared" si="0"/>
        <v>760</v>
      </c>
      <c r="P19" s="18">
        <f>O19/F12</f>
        <v>8.4706092151311824E-3</v>
      </c>
      <c r="Q19" s="20">
        <f t="shared" si="1"/>
        <v>3.3436615322886248E-2</v>
      </c>
    </row>
    <row r="20" spans="2:17" ht="32.25" customHeight="1" x14ac:dyDescent="0.25">
      <c r="C20" s="7" t="s">
        <v>13</v>
      </c>
      <c r="D20" s="7" t="s">
        <v>28</v>
      </c>
      <c r="E20" s="11" t="s">
        <v>29</v>
      </c>
      <c r="F20" s="12">
        <v>5304</v>
      </c>
      <c r="G20" s="12"/>
      <c r="H20" s="13">
        <f>136*3*2</f>
        <v>816</v>
      </c>
      <c r="I20" s="13">
        <v>1224</v>
      </c>
      <c r="J20" s="13">
        <f>136*3*2</f>
        <v>816</v>
      </c>
      <c r="K20" s="13">
        <v>0</v>
      </c>
      <c r="L20" s="13"/>
      <c r="M20" s="17">
        <f>SUM(H20:K20)</f>
        <v>2856</v>
      </c>
      <c r="N20" s="18">
        <f>M20/F12</f>
        <v>3.183165778738771E-2</v>
      </c>
      <c r="O20" s="16">
        <f t="shared" si="0"/>
        <v>2448</v>
      </c>
      <c r="P20" s="18">
        <f>O20/F12</f>
        <v>2.7284278103475178E-2</v>
      </c>
      <c r="Q20" s="20">
        <f t="shared" si="1"/>
        <v>5.9115935890862892E-2</v>
      </c>
    </row>
    <row r="21" spans="2:17" ht="32.25" customHeight="1" x14ac:dyDescent="0.25">
      <c r="C21" s="7" t="s">
        <v>13</v>
      </c>
      <c r="D21" s="7" t="s">
        <v>30</v>
      </c>
      <c r="E21" s="11" t="s">
        <v>31</v>
      </c>
      <c r="F21" s="12">
        <v>2280</v>
      </c>
      <c r="G21" s="12"/>
      <c r="H21" s="13">
        <v>570</v>
      </c>
      <c r="I21" s="13">
        <v>570</v>
      </c>
      <c r="J21" s="13">
        <v>570</v>
      </c>
      <c r="K21" s="13">
        <v>0</v>
      </c>
      <c r="L21" s="13"/>
      <c r="M21" s="17">
        <f>SUM(H21:K21)</f>
        <v>1710</v>
      </c>
      <c r="N21" s="18">
        <f>M21/F12</f>
        <v>1.905887073404516E-2</v>
      </c>
      <c r="O21" s="16">
        <f t="shared" si="0"/>
        <v>570</v>
      </c>
      <c r="P21" s="18">
        <f>O21/F12</f>
        <v>6.3529569113483873E-3</v>
      </c>
      <c r="Q21" s="20">
        <f t="shared" si="1"/>
        <v>2.5411827645393549E-2</v>
      </c>
    </row>
    <row r="22" spans="2:17" ht="32.25" customHeight="1" x14ac:dyDescent="0.25">
      <c r="C22" s="7" t="s">
        <v>13</v>
      </c>
      <c r="D22" s="7" t="s">
        <v>32</v>
      </c>
      <c r="E22" s="11" t="s">
        <v>33</v>
      </c>
      <c r="F22" s="12">
        <v>2000</v>
      </c>
      <c r="G22" s="12"/>
      <c r="H22" s="13">
        <v>500</v>
      </c>
      <c r="I22" s="13">
        <v>500</v>
      </c>
      <c r="J22" s="13">
        <v>0</v>
      </c>
      <c r="K22" s="13">
        <v>0</v>
      </c>
      <c r="L22" s="13"/>
      <c r="M22" s="17">
        <f>SUM(H22:K22)</f>
        <v>1000</v>
      </c>
      <c r="N22" s="18">
        <f>M22/F12</f>
        <v>1.1145538440962083E-2</v>
      </c>
      <c r="O22" s="16">
        <f t="shared" si="0"/>
        <v>1000</v>
      </c>
      <c r="P22" s="18">
        <f>O22/F12</f>
        <v>1.1145538440962083E-2</v>
      </c>
      <c r="Q22" s="20">
        <f t="shared" si="1"/>
        <v>2.2291076881924166E-2</v>
      </c>
    </row>
    <row r="23" spans="2:17" ht="32.25" customHeight="1" x14ac:dyDescent="0.25">
      <c r="C23" s="280" t="s">
        <v>34</v>
      </c>
      <c r="D23" s="281"/>
      <c r="E23" s="281"/>
      <c r="F23" s="281"/>
      <c r="G23" s="282"/>
      <c r="H23" s="3">
        <f>SUM(H13:H22)</f>
        <v>17761.5</v>
      </c>
      <c r="I23" s="3">
        <f>SUM(I13:I22)</f>
        <v>18489.5</v>
      </c>
      <c r="J23" s="3">
        <f>SUM(J13:J22)</f>
        <v>12462</v>
      </c>
      <c r="K23" s="3">
        <v>0</v>
      </c>
      <c r="L23" s="3"/>
      <c r="M23" s="17">
        <f>SUM(M13:M22)</f>
        <v>52228</v>
      </c>
      <c r="N23" s="18">
        <f>SUM(N13:N22)</f>
        <v>0.5821091816945676</v>
      </c>
      <c r="O23" s="16">
        <f>SUM(O13:O22)</f>
        <v>37494</v>
      </c>
      <c r="P23" s="18">
        <f>SUM(P13:P22)</f>
        <v>0.4178908183054324</v>
      </c>
      <c r="Q23" s="21">
        <f>SUM(Q13:Q22)</f>
        <v>1</v>
      </c>
    </row>
    <row r="24" spans="2:17" ht="32.25" customHeight="1" x14ac:dyDescent="0.35">
      <c r="C24" s="280" t="s">
        <v>34</v>
      </c>
      <c r="D24" s="281"/>
      <c r="E24" s="281"/>
      <c r="F24" s="281"/>
      <c r="G24" s="281"/>
      <c r="H24" s="281"/>
      <c r="I24" s="281"/>
      <c r="J24" s="281"/>
      <c r="K24" s="282"/>
      <c r="L24" s="22"/>
      <c r="M24" s="275">
        <f>M23+O23</f>
        <v>89722</v>
      </c>
      <c r="N24" s="276"/>
      <c r="O24" s="276"/>
      <c r="P24" s="276"/>
      <c r="Q24" s="277"/>
    </row>
    <row r="25" spans="2:17" x14ac:dyDescent="0.25">
      <c r="F25" s="1"/>
      <c r="H25" s="15"/>
      <c r="M25" s="15"/>
      <c r="N25" s="2"/>
      <c r="O25" s="2"/>
      <c r="P25" s="2"/>
    </row>
    <row r="26" spans="2:17" x14ac:dyDescent="0.25">
      <c r="F26" s="1"/>
      <c r="N26" s="2"/>
      <c r="O26" s="2"/>
      <c r="P26" s="2"/>
    </row>
    <row r="27" spans="2:17" ht="15.75" x14ac:dyDescent="0.25">
      <c r="B27" t="s">
        <v>35</v>
      </c>
      <c r="C27" s="283" t="s">
        <v>36</v>
      </c>
      <c r="D27" s="283"/>
      <c r="F27" s="1"/>
      <c r="I27" s="279" t="s">
        <v>37</v>
      </c>
      <c r="J27" s="279"/>
      <c r="K27" s="279"/>
      <c r="L27" s="279"/>
      <c r="M27" s="279"/>
      <c r="N27" s="279"/>
      <c r="O27" s="4"/>
      <c r="P27" s="4"/>
    </row>
    <row r="28" spans="2:17" ht="15.75" x14ac:dyDescent="0.25">
      <c r="C28" s="284" t="s">
        <v>38</v>
      </c>
      <c r="D28" s="284"/>
      <c r="F28" s="1"/>
      <c r="N28" s="2"/>
      <c r="O28" s="2"/>
      <c r="P28" s="2"/>
    </row>
    <row r="29" spans="2:17" x14ac:dyDescent="0.25">
      <c r="F29" s="1"/>
      <c r="N29" s="2"/>
      <c r="O29" s="2"/>
      <c r="P29" s="2"/>
    </row>
    <row r="30" spans="2:17" x14ac:dyDescent="0.25">
      <c r="F30" s="1"/>
      <c r="N30" s="2"/>
      <c r="O30" s="2"/>
      <c r="P30" s="2"/>
    </row>
    <row r="31" spans="2:17" ht="15.75" x14ac:dyDescent="0.25">
      <c r="C31" s="285" t="s">
        <v>39</v>
      </c>
      <c r="D31" s="284"/>
      <c r="F31" s="1"/>
      <c r="I31" s="286" t="s">
        <v>40</v>
      </c>
      <c r="J31" s="286"/>
      <c r="K31" s="286"/>
      <c r="L31" s="286"/>
      <c r="M31" s="286"/>
      <c r="N31" s="286"/>
      <c r="O31" s="5"/>
      <c r="P31" s="5"/>
    </row>
    <row r="32" spans="2:17" x14ac:dyDescent="0.25">
      <c r="C32" s="278" t="s">
        <v>41</v>
      </c>
      <c r="D32" s="278"/>
      <c r="F32" s="1"/>
      <c r="I32" s="279" t="s">
        <v>42</v>
      </c>
      <c r="J32" s="279"/>
      <c r="K32" s="279"/>
      <c r="L32" s="279"/>
      <c r="M32" s="279"/>
      <c r="N32" s="279"/>
      <c r="O32" s="4"/>
      <c r="P32" s="4"/>
    </row>
  </sheetData>
  <mergeCells count="22">
    <mergeCell ref="C10:Q10"/>
    <mergeCell ref="C11:C12"/>
    <mergeCell ref="D11:D12"/>
    <mergeCell ref="E11:E12"/>
    <mergeCell ref="G11:G12"/>
    <mergeCell ref="H11:K11"/>
    <mergeCell ref="L11:L12"/>
    <mergeCell ref="M11:M12"/>
    <mergeCell ref="N11:N12"/>
    <mergeCell ref="O11:O12"/>
    <mergeCell ref="P11:P12"/>
    <mergeCell ref="Q11:Q12"/>
    <mergeCell ref="M24:Q24"/>
    <mergeCell ref="C32:D32"/>
    <mergeCell ref="I32:N32"/>
    <mergeCell ref="C23:G23"/>
    <mergeCell ref="C24:K24"/>
    <mergeCell ref="C27:D27"/>
    <mergeCell ref="I27:N27"/>
    <mergeCell ref="C28:D28"/>
    <mergeCell ref="C31:D31"/>
    <mergeCell ref="I31:N31"/>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9161BE-553D-424A-BF89-855E8C5F1A8E}">
  <dimension ref="B3:X58"/>
  <sheetViews>
    <sheetView topLeftCell="B10" zoomScale="91" zoomScaleNormal="91" workbookViewId="0">
      <selection activeCell="X24" sqref="X24"/>
    </sheetView>
  </sheetViews>
  <sheetFormatPr defaultRowHeight="15" x14ac:dyDescent="0.25"/>
  <cols>
    <col min="2" max="2" width="1.7109375" bestFit="1" customWidth="1"/>
    <col min="3" max="3" width="25" customWidth="1"/>
    <col min="4" max="4" width="13.140625" customWidth="1"/>
    <col min="5" max="5" width="14.140625" customWidth="1"/>
    <col min="6" max="6" width="10.7109375" customWidth="1"/>
    <col min="7" max="8" width="12.5703125" customWidth="1"/>
    <col min="9" max="9" width="13.28515625" customWidth="1"/>
    <col min="10" max="11" width="12.5703125" customWidth="1"/>
    <col min="12" max="12" width="12.42578125" customWidth="1"/>
    <col min="13" max="13" width="10.85546875" customWidth="1"/>
    <col min="14" max="14" width="9.85546875" bestFit="1" customWidth="1"/>
    <col min="18" max="18" width="12.7109375" customWidth="1"/>
    <col min="19" max="19" width="12.140625" bestFit="1" customWidth="1"/>
    <col min="20" max="20" width="12.85546875" customWidth="1"/>
  </cols>
  <sheetData>
    <row r="3" spans="3:20" x14ac:dyDescent="0.25">
      <c r="E3" s="1"/>
      <c r="M3" s="2"/>
      <c r="N3" s="2"/>
      <c r="O3" s="2"/>
    </row>
    <row r="4" spans="3:20" x14ac:dyDescent="0.25">
      <c r="E4" s="1"/>
      <c r="M4" s="2"/>
      <c r="N4" s="2"/>
      <c r="O4" s="2"/>
    </row>
    <row r="5" spans="3:20" x14ac:dyDescent="0.25">
      <c r="E5" s="1"/>
      <c r="M5" s="2"/>
      <c r="N5" s="2"/>
      <c r="O5" s="2"/>
    </row>
    <row r="6" spans="3:20" x14ac:dyDescent="0.25">
      <c r="E6" s="1"/>
      <c r="M6" s="2"/>
      <c r="N6" s="2"/>
      <c r="O6" s="2"/>
    </row>
    <row r="7" spans="3:20" x14ac:dyDescent="0.25">
      <c r="E7" s="1"/>
      <c r="M7" s="2"/>
      <c r="N7" s="2"/>
      <c r="O7" s="2"/>
    </row>
    <row r="8" spans="3:20" x14ac:dyDescent="0.25">
      <c r="E8" s="1"/>
      <c r="M8" s="2"/>
      <c r="N8" s="2"/>
      <c r="O8" s="2"/>
    </row>
    <row r="9" spans="3:20" x14ac:dyDescent="0.25">
      <c r="E9" s="1"/>
      <c r="M9" s="2"/>
      <c r="N9" s="2"/>
      <c r="O9" s="2"/>
    </row>
    <row r="10" spans="3:20" ht="21" customHeight="1" x14ac:dyDescent="0.25">
      <c r="C10" s="287" t="s">
        <v>0</v>
      </c>
      <c r="D10" s="287"/>
      <c r="E10" s="287"/>
      <c r="F10" s="287"/>
      <c r="G10" s="287"/>
      <c r="H10" s="287"/>
      <c r="I10" s="287"/>
      <c r="J10" s="287"/>
      <c r="K10" s="287"/>
      <c r="L10" s="287"/>
      <c r="M10" s="287"/>
      <c r="N10" s="287"/>
      <c r="O10" s="287"/>
      <c r="P10" s="287"/>
    </row>
    <row r="11" spans="3:20" ht="24.75" customHeight="1" x14ac:dyDescent="0.25">
      <c r="C11" s="288" t="s">
        <v>1</v>
      </c>
      <c r="D11" s="289" t="s">
        <v>3</v>
      </c>
      <c r="E11" s="6" t="s">
        <v>4</v>
      </c>
      <c r="F11" s="290" t="s">
        <v>5</v>
      </c>
      <c r="G11" s="290" t="s">
        <v>6</v>
      </c>
      <c r="H11" s="290"/>
      <c r="I11" s="290"/>
      <c r="J11" s="290"/>
      <c r="K11" s="291" t="s">
        <v>46</v>
      </c>
      <c r="L11" s="290" t="s">
        <v>7</v>
      </c>
      <c r="M11" s="293" t="s">
        <v>43</v>
      </c>
      <c r="N11" s="298" t="s">
        <v>45</v>
      </c>
      <c r="O11" s="300" t="s">
        <v>44</v>
      </c>
      <c r="P11" s="297" t="s">
        <v>8</v>
      </c>
    </row>
    <row r="12" spans="3:20" ht="47.25" x14ac:dyDescent="0.25">
      <c r="C12" s="288"/>
      <c r="D12" s="289"/>
      <c r="E12" s="3">
        <f>SUM(E13:E22)</f>
        <v>89722</v>
      </c>
      <c r="F12" s="290"/>
      <c r="G12" s="3" t="s">
        <v>9</v>
      </c>
      <c r="H12" s="3" t="s">
        <v>10</v>
      </c>
      <c r="I12" s="3" t="s">
        <v>11</v>
      </c>
      <c r="J12" s="3" t="s">
        <v>12</v>
      </c>
      <c r="K12" s="292"/>
      <c r="L12" s="290"/>
      <c r="M12" s="293"/>
      <c r="N12" s="299"/>
      <c r="O12" s="300"/>
      <c r="P12" s="297"/>
      <c r="S12" s="46" t="s">
        <v>47</v>
      </c>
      <c r="T12" s="46" t="s">
        <v>51</v>
      </c>
    </row>
    <row r="13" spans="3:20" ht="32.25" customHeight="1" x14ac:dyDescent="0.25">
      <c r="C13" s="7" t="s">
        <v>13</v>
      </c>
      <c r="D13" s="9" t="s">
        <v>15</v>
      </c>
      <c r="E13" s="3">
        <v>67390</v>
      </c>
      <c r="F13" s="3"/>
      <c r="G13" s="81">
        <v>13798.5</v>
      </c>
      <c r="H13" s="58">
        <f>G13</f>
        <v>13798.5</v>
      </c>
      <c r="I13" s="10">
        <v>0</v>
      </c>
      <c r="J13" s="10">
        <v>0</v>
      </c>
      <c r="K13" s="10">
        <v>0</v>
      </c>
      <c r="L13" s="17">
        <f>SUM(G13:K13)</f>
        <v>27597</v>
      </c>
      <c r="M13" s="65">
        <f>SUM(L13/E13)</f>
        <v>0.4095117970025226</v>
      </c>
      <c r="N13" s="68">
        <f t="shared" ref="N13:N22" si="0">E13-L13</f>
        <v>39793</v>
      </c>
      <c r="O13" s="64">
        <f>N13/E13</f>
        <v>0.5904882029974774</v>
      </c>
      <c r="P13" s="47">
        <f>O13+M13</f>
        <v>1</v>
      </c>
      <c r="R13" s="15"/>
      <c r="S13" s="44">
        <v>67390</v>
      </c>
      <c r="T13" s="45">
        <v>13798.5</v>
      </c>
    </row>
    <row r="14" spans="3:20" ht="32.25" customHeight="1" x14ac:dyDescent="0.25">
      <c r="C14" s="7" t="s">
        <v>13</v>
      </c>
      <c r="D14" s="11" t="s">
        <v>17</v>
      </c>
      <c r="E14" s="12">
        <v>3000</v>
      </c>
      <c r="F14" s="69" t="e">
        <f>E14/#REF!</f>
        <v>#REF!</v>
      </c>
      <c r="G14" s="82">
        <v>200</v>
      </c>
      <c r="H14" s="59">
        <v>250</v>
      </c>
      <c r="I14" s="13">
        <v>0</v>
      </c>
      <c r="J14" s="13">
        <v>0</v>
      </c>
      <c r="K14" s="13"/>
      <c r="L14" s="61">
        <f>SUM(G14:J14)</f>
        <v>450</v>
      </c>
      <c r="M14" s="62">
        <f>L14/E23</f>
        <v>2.015045674368619E-2</v>
      </c>
      <c r="N14" s="66">
        <f t="shared" si="0"/>
        <v>2550</v>
      </c>
      <c r="O14" s="67">
        <f>N14/E23</f>
        <v>0.11418592154755508</v>
      </c>
      <c r="P14" s="48">
        <f>O14+M14</f>
        <v>0.13433637829124126</v>
      </c>
      <c r="S14" s="51">
        <f>100%-T14</f>
        <v>0.79520000000000002</v>
      </c>
      <c r="T14" s="50">
        <v>0.20480000000000001</v>
      </c>
    </row>
    <row r="15" spans="3:20" ht="32.25" customHeight="1" x14ac:dyDescent="0.25">
      <c r="C15" s="7" t="s">
        <v>13</v>
      </c>
      <c r="D15" s="11" t="s">
        <v>19</v>
      </c>
      <c r="E15" s="12">
        <v>1000</v>
      </c>
      <c r="F15" s="69" t="e">
        <f>E15/#REF!</f>
        <v>#REF!</v>
      </c>
      <c r="G15" s="82"/>
      <c r="H15" s="59">
        <v>250</v>
      </c>
      <c r="I15" s="13">
        <v>0</v>
      </c>
      <c r="J15" s="13">
        <v>0</v>
      </c>
      <c r="K15" s="13"/>
      <c r="L15" s="61">
        <f>SUM(G15:J15)</f>
        <v>250</v>
      </c>
      <c r="M15" s="62">
        <f>L15/E23</f>
        <v>1.1194698190936773E-2</v>
      </c>
      <c r="N15" s="66">
        <f t="shared" si="0"/>
        <v>750</v>
      </c>
      <c r="O15" s="67">
        <f>N15/E23</f>
        <v>3.3584094572810315E-2</v>
      </c>
      <c r="P15" s="48">
        <f t="shared" ref="P15:P22" si="1">O15+M15</f>
        <v>4.4778792763747091E-2</v>
      </c>
    </row>
    <row r="16" spans="3:20" ht="32.25" customHeight="1" x14ac:dyDescent="0.25">
      <c r="C16" s="7" t="s">
        <v>13</v>
      </c>
      <c r="D16" s="11" t="s">
        <v>21</v>
      </c>
      <c r="E16" s="12">
        <v>2000</v>
      </c>
      <c r="F16" s="69" t="e">
        <f>E16/#REF!</f>
        <v>#REF!</v>
      </c>
      <c r="G16" s="82">
        <v>500</v>
      </c>
      <c r="H16" s="59">
        <v>500</v>
      </c>
      <c r="I16" s="13">
        <v>0</v>
      </c>
      <c r="J16" s="13">
        <v>0</v>
      </c>
      <c r="K16" s="13"/>
      <c r="L16" s="61">
        <f>SUM(G16:J16)</f>
        <v>1000</v>
      </c>
      <c r="M16" s="62">
        <f>L16/E23</f>
        <v>4.4778792763747091E-2</v>
      </c>
      <c r="N16" s="66">
        <f t="shared" si="0"/>
        <v>1000</v>
      </c>
      <c r="O16" s="67">
        <f>N16/E23</f>
        <v>4.4778792763747091E-2</v>
      </c>
      <c r="P16" s="48">
        <f t="shared" si="1"/>
        <v>8.9557585527494182E-2</v>
      </c>
    </row>
    <row r="17" spans="2:21" ht="32.25" customHeight="1" x14ac:dyDescent="0.25">
      <c r="C17" s="7" t="s">
        <v>13</v>
      </c>
      <c r="D17" s="11" t="s">
        <v>23</v>
      </c>
      <c r="E17" s="12">
        <v>2548</v>
      </c>
      <c r="F17" s="69" t="e">
        <f>E17/#REF!</f>
        <v>#REF!</v>
      </c>
      <c r="G17" s="82">
        <v>637</v>
      </c>
      <c r="H17" s="59">
        <v>637</v>
      </c>
      <c r="I17" s="13">
        <v>0</v>
      </c>
      <c r="J17" s="13">
        <v>0</v>
      </c>
      <c r="K17" s="13"/>
      <c r="L17" s="61">
        <f>SUM(G17:J17)</f>
        <v>1274</v>
      </c>
      <c r="M17" s="62">
        <f>L17/E23</f>
        <v>5.7048181981013794E-2</v>
      </c>
      <c r="N17" s="66">
        <f t="shared" si="0"/>
        <v>1274</v>
      </c>
      <c r="O17" s="67">
        <f>N17/E23</f>
        <v>5.7048181981013794E-2</v>
      </c>
      <c r="P17" s="48">
        <f t="shared" si="1"/>
        <v>0.11409636396202759</v>
      </c>
      <c r="S17" s="46" t="s">
        <v>50</v>
      </c>
      <c r="T17" s="46" t="s">
        <v>52</v>
      </c>
    </row>
    <row r="18" spans="2:21" ht="32.25" customHeight="1" x14ac:dyDescent="0.25">
      <c r="C18" s="7" t="s">
        <v>13</v>
      </c>
      <c r="D18" s="11" t="s">
        <v>25</v>
      </c>
      <c r="E18" s="12">
        <v>1200</v>
      </c>
      <c r="F18" s="69" t="e">
        <f>E18/#REF!</f>
        <v>#REF!</v>
      </c>
      <c r="G18" s="83">
        <v>0</v>
      </c>
      <c r="H18" s="60">
        <v>0</v>
      </c>
      <c r="I18" s="14">
        <v>0</v>
      </c>
      <c r="J18" s="14">
        <v>0</v>
      </c>
      <c r="K18" s="14"/>
      <c r="L18" s="61">
        <f t="shared" ref="L18" si="2">SUM(G18:J18)</f>
        <v>0</v>
      </c>
      <c r="M18" s="62">
        <f>L18/E23</f>
        <v>0</v>
      </c>
      <c r="N18" s="66">
        <f t="shared" si="0"/>
        <v>1200</v>
      </c>
      <c r="O18" s="67">
        <f>N18/E23</f>
        <v>5.3734551316496508E-2</v>
      </c>
      <c r="P18" s="48">
        <f t="shared" si="1"/>
        <v>5.3734551316496508E-2</v>
      </c>
      <c r="S18" s="43">
        <v>22332</v>
      </c>
      <c r="T18" s="43">
        <v>3963</v>
      </c>
    </row>
    <row r="19" spans="2:21" ht="32.25" customHeight="1" x14ac:dyDescent="0.25">
      <c r="C19" s="7" t="s">
        <v>13</v>
      </c>
      <c r="D19" s="11" t="s">
        <v>27</v>
      </c>
      <c r="E19" s="12">
        <v>3000</v>
      </c>
      <c r="F19" s="69" t="e">
        <f>E19/#REF!</f>
        <v>#REF!</v>
      </c>
      <c r="G19" s="82">
        <v>740</v>
      </c>
      <c r="H19" s="59">
        <v>760</v>
      </c>
      <c r="I19" s="13">
        <v>0</v>
      </c>
      <c r="J19" s="13">
        <v>0</v>
      </c>
      <c r="K19" s="13"/>
      <c r="L19" s="61">
        <f>SUM(G19:J19)</f>
        <v>1500</v>
      </c>
      <c r="M19" s="62">
        <f>L19/E23</f>
        <v>6.716818914562063E-2</v>
      </c>
      <c r="N19" s="66">
        <f t="shared" si="0"/>
        <v>1500</v>
      </c>
      <c r="O19" s="67">
        <f>N19/E23</f>
        <v>6.716818914562063E-2</v>
      </c>
      <c r="P19" s="48">
        <f t="shared" si="1"/>
        <v>0.13433637829124126</v>
      </c>
    </row>
    <row r="20" spans="2:21" ht="32.25" customHeight="1" x14ac:dyDescent="0.25">
      <c r="C20" s="7" t="s">
        <v>13</v>
      </c>
      <c r="D20" s="11" t="s">
        <v>29</v>
      </c>
      <c r="E20" s="12">
        <v>5304</v>
      </c>
      <c r="F20" s="69" t="e">
        <f>E20/#REF!</f>
        <v>#REF!</v>
      </c>
      <c r="G20" s="82">
        <f>136*3*2</f>
        <v>816</v>
      </c>
      <c r="H20" s="59">
        <f>136*3*3</f>
        <v>1224</v>
      </c>
      <c r="I20" s="13">
        <v>0</v>
      </c>
      <c r="J20" s="13">
        <v>0</v>
      </c>
      <c r="K20" s="13"/>
      <c r="L20" s="61">
        <f>SUM(G20:J20)</f>
        <v>2040</v>
      </c>
      <c r="M20" s="62">
        <f>L20/E23</f>
        <v>9.1348737238044056E-2</v>
      </c>
      <c r="N20" s="66">
        <f t="shared" si="0"/>
        <v>3264</v>
      </c>
      <c r="O20" s="67">
        <f>N20/E23</f>
        <v>0.14615797958087051</v>
      </c>
      <c r="P20" s="48">
        <f t="shared" si="1"/>
        <v>0.23750671681891455</v>
      </c>
    </row>
    <row r="21" spans="2:21" ht="32.25" customHeight="1" x14ac:dyDescent="0.25">
      <c r="C21" s="7" t="s">
        <v>13</v>
      </c>
      <c r="D21" s="11" t="s">
        <v>31</v>
      </c>
      <c r="E21" s="12">
        <v>2280</v>
      </c>
      <c r="F21" s="69" t="e">
        <f>E21/#REF!</f>
        <v>#REF!</v>
      </c>
      <c r="G21" s="82">
        <v>570</v>
      </c>
      <c r="H21" s="59">
        <v>570</v>
      </c>
      <c r="I21" s="13">
        <v>0</v>
      </c>
      <c r="J21" s="13">
        <v>0</v>
      </c>
      <c r="K21" s="13"/>
      <c r="L21" s="61">
        <f>SUM(G21:J21)</f>
        <v>1140</v>
      </c>
      <c r="M21" s="62">
        <f>L21/E23</f>
        <v>5.1047823750671684E-2</v>
      </c>
      <c r="N21" s="66">
        <f t="shared" si="0"/>
        <v>1140</v>
      </c>
      <c r="O21" s="67">
        <f>N21/E23</f>
        <v>5.1047823750671684E-2</v>
      </c>
      <c r="P21" s="48">
        <f t="shared" si="1"/>
        <v>0.10209564750134337</v>
      </c>
      <c r="R21" s="11" t="s">
        <v>17</v>
      </c>
      <c r="S21" s="12">
        <v>3000</v>
      </c>
      <c r="T21" s="70">
        <v>450</v>
      </c>
      <c r="U21" s="71">
        <f>T21/S30</f>
        <v>2.015045674368619E-2</v>
      </c>
    </row>
    <row r="22" spans="2:21" ht="32.25" customHeight="1" x14ac:dyDescent="0.25">
      <c r="C22" s="7" t="s">
        <v>13</v>
      </c>
      <c r="D22" s="11" t="s">
        <v>33</v>
      </c>
      <c r="E22" s="12">
        <v>2000</v>
      </c>
      <c r="F22" s="69" t="e">
        <f>E22/#REF!</f>
        <v>#REF!</v>
      </c>
      <c r="G22" s="82">
        <v>500</v>
      </c>
      <c r="H22" s="59">
        <v>500</v>
      </c>
      <c r="I22" s="13">
        <v>0</v>
      </c>
      <c r="J22" s="13">
        <v>0</v>
      </c>
      <c r="K22" s="13"/>
      <c r="L22" s="61">
        <f>SUM(G22:J22)</f>
        <v>1000</v>
      </c>
      <c r="M22" s="62">
        <f>L22/E23</f>
        <v>4.4778792763747091E-2</v>
      </c>
      <c r="N22" s="66">
        <f t="shared" si="0"/>
        <v>1000</v>
      </c>
      <c r="O22" s="67">
        <f>N22/E23</f>
        <v>4.4778792763747091E-2</v>
      </c>
      <c r="P22" s="48">
        <f t="shared" si="1"/>
        <v>8.9557585527494182E-2</v>
      </c>
      <c r="R22" s="11" t="s">
        <v>19</v>
      </c>
      <c r="S22" s="12">
        <v>1000</v>
      </c>
      <c r="T22" s="70">
        <v>250</v>
      </c>
      <c r="U22" s="71">
        <f>T22/S30</f>
        <v>1.1194698190936773E-2</v>
      </c>
    </row>
    <row r="23" spans="2:21" ht="32.25" customHeight="1" x14ac:dyDescent="0.35">
      <c r="C23" s="54"/>
      <c r="D23" s="57" t="s">
        <v>49</v>
      </c>
      <c r="E23" s="55">
        <f>SUM(E14:E22)</f>
        <v>22332</v>
      </c>
      <c r="F23" s="56"/>
      <c r="G23" s="13"/>
      <c r="H23" s="13"/>
      <c r="I23" s="13"/>
      <c r="J23" s="13"/>
      <c r="K23" s="13"/>
      <c r="L23" s="52"/>
      <c r="M23" s="53"/>
      <c r="N23" s="63"/>
      <c r="O23" s="18"/>
      <c r="P23" s="48">
        <f>SUM(P14:P22)</f>
        <v>1</v>
      </c>
      <c r="R23" s="11" t="s">
        <v>21</v>
      </c>
      <c r="S23" s="12">
        <v>2000</v>
      </c>
      <c r="T23" s="70">
        <v>1000</v>
      </c>
      <c r="U23" s="71">
        <f>T23/S30</f>
        <v>4.4778792763747091E-2</v>
      </c>
    </row>
    <row r="24" spans="2:21" ht="32.25" customHeight="1" x14ac:dyDescent="0.25">
      <c r="C24" s="280" t="s">
        <v>34</v>
      </c>
      <c r="D24" s="281"/>
      <c r="E24" s="281"/>
      <c r="F24" s="282"/>
      <c r="G24" s="3"/>
      <c r="H24" s="3"/>
      <c r="I24" s="3"/>
      <c r="J24" s="3"/>
      <c r="K24" s="3"/>
      <c r="L24" s="61">
        <f>SUM(L14:L22)</f>
        <v>8654</v>
      </c>
      <c r="M24" s="62">
        <f>SUM(M14:M22)</f>
        <v>0.38751567257746727</v>
      </c>
      <c r="N24" s="68">
        <f>SUM(N14:N22)</f>
        <v>13678</v>
      </c>
      <c r="O24" s="64">
        <f>SUM(O14:O22)</f>
        <v>0.61248432742253267</v>
      </c>
      <c r="P24" s="49">
        <f>SUM(P13:P23)</f>
        <v>3</v>
      </c>
      <c r="R24" s="11" t="s">
        <v>23</v>
      </c>
      <c r="S24" s="12">
        <v>2548</v>
      </c>
      <c r="T24" s="70">
        <v>1274</v>
      </c>
      <c r="U24" s="71">
        <f>T24/S30</f>
        <v>5.7048181981013794E-2</v>
      </c>
    </row>
    <row r="25" spans="2:21" ht="32.25" customHeight="1" x14ac:dyDescent="0.35">
      <c r="C25" s="280" t="s">
        <v>34</v>
      </c>
      <c r="D25" s="281"/>
      <c r="E25" s="281"/>
      <c r="F25" s="281"/>
      <c r="G25" s="281"/>
      <c r="H25" s="281"/>
      <c r="I25" s="281"/>
      <c r="J25" s="282"/>
      <c r="K25" s="22"/>
      <c r="L25" s="275">
        <f>L24+N24</f>
        <v>22332</v>
      </c>
      <c r="M25" s="276"/>
      <c r="N25" s="276"/>
      <c r="O25" s="276"/>
      <c r="P25" s="277"/>
      <c r="R25" s="11" t="s">
        <v>25</v>
      </c>
      <c r="S25" s="12">
        <v>1200</v>
      </c>
      <c r="T25" s="70">
        <v>0</v>
      </c>
      <c r="U25" s="71">
        <f>T25/S30</f>
        <v>0</v>
      </c>
    </row>
    <row r="26" spans="2:21" x14ac:dyDescent="0.25">
      <c r="E26" s="1"/>
      <c r="G26" s="15"/>
      <c r="L26" s="15"/>
      <c r="M26" s="2"/>
      <c r="N26" s="2"/>
      <c r="O26" s="2"/>
      <c r="R26" s="11" t="s">
        <v>27</v>
      </c>
      <c r="S26" s="12">
        <v>3000</v>
      </c>
      <c r="T26" s="70">
        <v>1500</v>
      </c>
      <c r="U26" s="71">
        <f>T26/S30</f>
        <v>6.716818914562063E-2</v>
      </c>
    </row>
    <row r="27" spans="2:21" ht="24.75" x14ac:dyDescent="0.25">
      <c r="E27" s="1"/>
      <c r="M27" s="2"/>
      <c r="N27" s="2"/>
      <c r="O27" s="2"/>
      <c r="R27" s="11" t="s">
        <v>29</v>
      </c>
      <c r="S27" s="12">
        <v>5304</v>
      </c>
      <c r="T27" s="70">
        <v>2040</v>
      </c>
      <c r="U27" s="71">
        <f>T27/S30</f>
        <v>9.1348737238044056E-2</v>
      </c>
    </row>
    <row r="28" spans="2:21" ht="23.25" customHeight="1" x14ac:dyDescent="0.25">
      <c r="B28" t="s">
        <v>35</v>
      </c>
      <c r="C28" s="42" t="s">
        <v>36</v>
      </c>
      <c r="E28" s="1"/>
      <c r="H28" s="279" t="s">
        <v>37</v>
      </c>
      <c r="I28" s="279"/>
      <c r="J28" s="279"/>
      <c r="K28" s="279"/>
      <c r="L28" s="279"/>
      <c r="M28" s="279"/>
      <c r="N28" s="4"/>
      <c r="O28" s="4"/>
      <c r="R28" s="11" t="s">
        <v>31</v>
      </c>
      <c r="S28" s="12">
        <v>2280</v>
      </c>
      <c r="T28" s="70">
        <v>1140</v>
      </c>
      <c r="U28" s="71">
        <f>T28/S30</f>
        <v>5.1047823750671684E-2</v>
      </c>
    </row>
    <row r="29" spans="2:21" ht="24.75" x14ac:dyDescent="0.25">
      <c r="C29" s="40" t="s">
        <v>38</v>
      </c>
      <c r="E29" s="1"/>
      <c r="M29" s="2"/>
      <c r="N29" s="2"/>
      <c r="O29" s="2"/>
      <c r="R29" s="11" t="s">
        <v>33</v>
      </c>
      <c r="S29" s="12">
        <v>2000</v>
      </c>
      <c r="T29" s="70">
        <v>100</v>
      </c>
      <c r="U29" s="71">
        <f>T29/S30</f>
        <v>4.4778792763747093E-3</v>
      </c>
    </row>
    <row r="30" spans="2:21" x14ac:dyDescent="0.25">
      <c r="E30" s="1"/>
      <c r="M30" s="2"/>
      <c r="N30" s="2"/>
      <c r="O30" s="2"/>
      <c r="S30" s="15">
        <f>SUM(S21:S29)</f>
        <v>22332</v>
      </c>
    </row>
    <row r="31" spans="2:21" x14ac:dyDescent="0.25">
      <c r="E31" s="1"/>
      <c r="M31" s="2"/>
      <c r="N31" s="2"/>
      <c r="O31" s="2"/>
    </row>
    <row r="32" spans="2:21" ht="15.75" x14ac:dyDescent="0.25">
      <c r="C32" s="39" t="s">
        <v>39</v>
      </c>
      <c r="E32" s="1"/>
      <c r="H32" s="286" t="s">
        <v>40</v>
      </c>
      <c r="I32" s="286"/>
      <c r="J32" s="286"/>
      <c r="K32" s="286"/>
      <c r="L32" s="286"/>
      <c r="M32" s="286"/>
      <c r="N32" s="5"/>
      <c r="O32" s="5"/>
    </row>
    <row r="33" spans="3:24" x14ac:dyDescent="0.25">
      <c r="C33" s="41" t="s">
        <v>41</v>
      </c>
      <c r="E33" s="1"/>
      <c r="H33" s="279" t="s">
        <v>42</v>
      </c>
      <c r="I33" s="279"/>
      <c r="J33" s="279"/>
      <c r="K33" s="279"/>
      <c r="L33" s="279"/>
      <c r="M33" s="279"/>
      <c r="N33" s="4"/>
      <c r="O33" s="4"/>
    </row>
    <row r="34" spans="3:24" x14ac:dyDescent="0.25">
      <c r="V34" s="11" t="s">
        <v>17</v>
      </c>
      <c r="W34" s="70">
        <v>200</v>
      </c>
      <c r="X34" s="71">
        <f>W34/22332</f>
        <v>8.9557585527494186E-3</v>
      </c>
    </row>
    <row r="35" spans="3:24" x14ac:dyDescent="0.25">
      <c r="V35" s="11" t="s">
        <v>19</v>
      </c>
      <c r="W35" s="70"/>
      <c r="X35" s="71">
        <f t="shared" ref="X35:X42" si="3">W35/22332</f>
        <v>0</v>
      </c>
    </row>
    <row r="36" spans="3:24" x14ac:dyDescent="0.25">
      <c r="V36" s="11" t="s">
        <v>21</v>
      </c>
      <c r="W36" s="70">
        <v>500</v>
      </c>
      <c r="X36" s="71">
        <f t="shared" si="3"/>
        <v>2.2389396381873546E-2</v>
      </c>
    </row>
    <row r="37" spans="3:24" ht="24.75" x14ac:dyDescent="0.25">
      <c r="V37" s="11" t="s">
        <v>23</v>
      </c>
      <c r="W37" s="70">
        <v>637</v>
      </c>
      <c r="X37" s="71">
        <f t="shared" si="3"/>
        <v>2.8524090990506897E-2</v>
      </c>
    </row>
    <row r="38" spans="3:24" ht="24.75" x14ac:dyDescent="0.25">
      <c r="V38" s="11" t="s">
        <v>25</v>
      </c>
      <c r="W38" s="70"/>
      <c r="X38" s="71">
        <f t="shared" si="3"/>
        <v>0</v>
      </c>
    </row>
    <row r="39" spans="3:24" x14ac:dyDescent="0.25">
      <c r="V39" s="11" t="s">
        <v>27</v>
      </c>
      <c r="W39" s="70">
        <v>740</v>
      </c>
      <c r="X39" s="71">
        <f t="shared" si="3"/>
        <v>3.3136306645172843E-2</v>
      </c>
    </row>
    <row r="40" spans="3:24" ht="24.75" x14ac:dyDescent="0.25">
      <c r="V40" s="11" t="s">
        <v>29</v>
      </c>
      <c r="W40" s="70">
        <v>816</v>
      </c>
      <c r="X40" s="71">
        <f t="shared" si="3"/>
        <v>3.6539494895217628E-2</v>
      </c>
    </row>
    <row r="41" spans="3:24" ht="46.5" customHeight="1" x14ac:dyDescent="0.25">
      <c r="V41" s="11" t="s">
        <v>31</v>
      </c>
      <c r="W41" s="70">
        <v>570</v>
      </c>
      <c r="X41" s="71">
        <f t="shared" si="3"/>
        <v>2.5523911875335842E-2</v>
      </c>
    </row>
    <row r="42" spans="3:24" ht="75" x14ac:dyDescent="0.25">
      <c r="D42" s="80" t="s">
        <v>53</v>
      </c>
      <c r="E42" s="80" t="s">
        <v>58</v>
      </c>
      <c r="F42" s="80" t="s">
        <v>59</v>
      </c>
      <c r="G42" s="77" t="s">
        <v>60</v>
      </c>
      <c r="H42" s="73" t="s">
        <v>61</v>
      </c>
      <c r="I42" s="75" t="s">
        <v>62</v>
      </c>
      <c r="J42" s="72" t="s">
        <v>63</v>
      </c>
      <c r="K42" s="74" t="s">
        <v>65</v>
      </c>
      <c r="L42" s="73" t="s">
        <v>64</v>
      </c>
      <c r="V42" s="11" t="s">
        <v>33</v>
      </c>
      <c r="W42" s="70">
        <v>500</v>
      </c>
      <c r="X42" s="71">
        <f t="shared" si="3"/>
        <v>2.2389396381873546E-2</v>
      </c>
    </row>
    <row r="43" spans="3:24" ht="27" customHeight="1" x14ac:dyDescent="0.25">
      <c r="D43" s="70" t="s">
        <v>54</v>
      </c>
      <c r="E43" s="70">
        <v>3498</v>
      </c>
      <c r="F43" s="70">
        <v>17836</v>
      </c>
      <c r="G43" s="79">
        <v>3411</v>
      </c>
      <c r="H43" s="78">
        <f>E43-G43</f>
        <v>87</v>
      </c>
      <c r="I43" s="76">
        <v>24</v>
      </c>
      <c r="J43" s="70">
        <v>31</v>
      </c>
      <c r="K43" s="71">
        <f>G43/E43</f>
        <v>0.97512864493996565</v>
      </c>
      <c r="L43" s="71">
        <f>H43/E43</f>
        <v>2.4871355060034305E-2</v>
      </c>
    </row>
    <row r="44" spans="3:24" ht="27" customHeight="1" x14ac:dyDescent="0.25">
      <c r="D44" s="70" t="s">
        <v>55</v>
      </c>
      <c r="E44" s="70">
        <v>3318</v>
      </c>
      <c r="F44" s="70">
        <v>11668</v>
      </c>
      <c r="G44" s="79">
        <v>2218</v>
      </c>
      <c r="H44" s="78">
        <f>E44-G44</f>
        <v>1100</v>
      </c>
      <c r="I44" s="76">
        <v>19</v>
      </c>
      <c r="J44" s="70">
        <v>18</v>
      </c>
      <c r="K44" s="71">
        <f t="shared" ref="K44:K46" si="4">G44/E44</f>
        <v>0.66847498493068114</v>
      </c>
      <c r="L44" s="71">
        <f t="shared" ref="L44:L46" si="5">H44/E44</f>
        <v>0.33152501506931886</v>
      </c>
    </row>
    <row r="45" spans="3:24" ht="27" customHeight="1" x14ac:dyDescent="0.25">
      <c r="D45" s="70" t="s">
        <v>56</v>
      </c>
      <c r="E45" s="70">
        <v>2574</v>
      </c>
      <c r="F45" s="70">
        <v>15184</v>
      </c>
      <c r="G45" s="79">
        <v>1326</v>
      </c>
      <c r="H45" s="78">
        <f>E45-G45</f>
        <v>1248</v>
      </c>
      <c r="I45" s="76">
        <v>22</v>
      </c>
      <c r="J45" s="70">
        <v>30</v>
      </c>
      <c r="K45" s="71">
        <f t="shared" si="4"/>
        <v>0.51515151515151514</v>
      </c>
      <c r="L45" s="71">
        <f t="shared" si="5"/>
        <v>0.48484848484848486</v>
      </c>
    </row>
    <row r="46" spans="3:24" ht="27" customHeight="1" x14ac:dyDescent="0.25">
      <c r="D46" s="70" t="s">
        <v>57</v>
      </c>
      <c r="E46" s="70">
        <v>6415</v>
      </c>
      <c r="F46" s="70">
        <v>28427</v>
      </c>
      <c r="G46" s="79">
        <v>4554</v>
      </c>
      <c r="H46" s="78">
        <f>E46-G46</f>
        <v>1861</v>
      </c>
      <c r="I46" s="76">
        <v>23</v>
      </c>
      <c r="J46" s="70">
        <v>40</v>
      </c>
      <c r="K46" s="71">
        <f t="shared" si="4"/>
        <v>0.7098986749805144</v>
      </c>
      <c r="L46" s="71">
        <f t="shared" si="5"/>
        <v>0.2901013250194856</v>
      </c>
    </row>
    <row r="47" spans="3:24" ht="27" customHeight="1" x14ac:dyDescent="0.25">
      <c r="D47" s="70" t="s">
        <v>7</v>
      </c>
      <c r="E47" s="70">
        <f t="shared" ref="E47:J47" si="6">SUM(E43:E46)</f>
        <v>15805</v>
      </c>
      <c r="F47" s="70">
        <f t="shared" si="6"/>
        <v>73115</v>
      </c>
      <c r="G47" s="79">
        <f t="shared" si="6"/>
        <v>11509</v>
      </c>
      <c r="H47" s="78">
        <f t="shared" si="6"/>
        <v>4296</v>
      </c>
      <c r="I47" s="76">
        <f t="shared" si="6"/>
        <v>88</v>
      </c>
      <c r="J47" s="70">
        <f t="shared" si="6"/>
        <v>119</v>
      </c>
      <c r="K47" s="70"/>
      <c r="L47" s="70"/>
    </row>
    <row r="48" spans="3:24" x14ac:dyDescent="0.25">
      <c r="D48" s="301" t="s">
        <v>66</v>
      </c>
      <c r="E48" s="302"/>
      <c r="F48" s="303"/>
      <c r="G48" s="307">
        <f>G47/E47</f>
        <v>0.72818728250553622</v>
      </c>
      <c r="H48" s="309">
        <f>H47/E47</f>
        <v>0.27181271749446378</v>
      </c>
    </row>
    <row r="49" spans="4:10" x14ac:dyDescent="0.25">
      <c r="D49" s="304"/>
      <c r="E49" s="305"/>
      <c r="F49" s="306"/>
      <c r="G49" s="308"/>
      <c r="H49" s="310"/>
    </row>
    <row r="54" spans="4:10" ht="75" x14ac:dyDescent="0.25">
      <c r="D54" s="80" t="s">
        <v>53</v>
      </c>
      <c r="E54" s="74" t="s">
        <v>65</v>
      </c>
      <c r="F54" s="73" t="s">
        <v>64</v>
      </c>
      <c r="H54" s="80" t="s">
        <v>67</v>
      </c>
      <c r="I54" s="74" t="s">
        <v>65</v>
      </c>
      <c r="J54" s="73" t="s">
        <v>64</v>
      </c>
    </row>
    <row r="55" spans="4:10" ht="29.25" customHeight="1" x14ac:dyDescent="0.25">
      <c r="D55" s="70" t="s">
        <v>54</v>
      </c>
      <c r="E55" s="71">
        <f>3411/3498</f>
        <v>0.97512864493996565</v>
      </c>
      <c r="F55" s="71">
        <f>87/3498</f>
        <v>2.4871355060034305E-2</v>
      </c>
      <c r="H55" s="9" t="s">
        <v>54</v>
      </c>
      <c r="I55" s="71">
        <f>G48</f>
        <v>0.72818728250553622</v>
      </c>
      <c r="J55" s="71">
        <f>H48</f>
        <v>0.27181271749446378</v>
      </c>
    </row>
    <row r="56" spans="4:10" ht="29.25" customHeight="1" x14ac:dyDescent="0.25">
      <c r="D56" s="70" t="s">
        <v>55</v>
      </c>
      <c r="E56" s="71">
        <f>2218/3318</f>
        <v>0.66847498493068114</v>
      </c>
      <c r="F56" s="71">
        <f>1100/3318</f>
        <v>0.33152501506931886</v>
      </c>
    </row>
    <row r="57" spans="4:10" ht="29.25" customHeight="1" x14ac:dyDescent="0.25">
      <c r="D57" s="70" t="s">
        <v>56</v>
      </c>
      <c r="E57" s="71">
        <f>1326/2574</f>
        <v>0.51515151515151514</v>
      </c>
      <c r="F57" s="71">
        <f>1248/2574</f>
        <v>0.48484848484848486</v>
      </c>
    </row>
    <row r="58" spans="4:10" ht="29.25" customHeight="1" x14ac:dyDescent="0.25">
      <c r="D58" s="70" t="s">
        <v>57</v>
      </c>
      <c r="E58" s="71">
        <f>4554/6415</f>
        <v>0.7098986749805144</v>
      </c>
      <c r="F58" s="71">
        <f>1861/6415</f>
        <v>0.2901013250194856</v>
      </c>
    </row>
  </sheetData>
  <mergeCells count="20">
    <mergeCell ref="H33:M33"/>
    <mergeCell ref="D48:F49"/>
    <mergeCell ref="G48:G49"/>
    <mergeCell ref="H48:H49"/>
    <mergeCell ref="P11:P12"/>
    <mergeCell ref="C24:F24"/>
    <mergeCell ref="C25:J25"/>
    <mergeCell ref="L25:P25"/>
    <mergeCell ref="H28:M28"/>
    <mergeCell ref="H32:M32"/>
    <mergeCell ref="C10:P10"/>
    <mergeCell ref="C11:C12"/>
    <mergeCell ref="D11:D12"/>
    <mergeCell ref="F11:F12"/>
    <mergeCell ref="G11:J11"/>
    <mergeCell ref="K11:K12"/>
    <mergeCell ref="L11:L12"/>
    <mergeCell ref="M11:M12"/>
    <mergeCell ref="N11:N12"/>
    <mergeCell ref="O11:O12"/>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3:R31"/>
  <sheetViews>
    <sheetView topLeftCell="A10" zoomScale="98" zoomScaleNormal="98" workbookViewId="0">
      <selection activeCell="K12" sqref="K12"/>
    </sheetView>
  </sheetViews>
  <sheetFormatPr defaultRowHeight="15" x14ac:dyDescent="0.25"/>
  <cols>
    <col min="1" max="1" width="1.7109375" bestFit="1" customWidth="1"/>
    <col min="2" max="2" width="19.5703125" customWidth="1"/>
    <col min="3" max="3" width="17.7109375" customWidth="1"/>
    <col min="4" max="4" width="9.140625" customWidth="1"/>
    <col min="5" max="5" width="10.5703125" customWidth="1"/>
    <col min="6" max="6" width="4.85546875" customWidth="1"/>
    <col min="7" max="7" width="12.85546875" customWidth="1"/>
    <col min="8" max="8" width="12.7109375" customWidth="1"/>
    <col min="9" max="9" width="12.140625" customWidth="1"/>
    <col min="10" max="10" width="7.5703125" customWidth="1"/>
    <col min="11" max="11" width="8" customWidth="1"/>
    <col min="12" max="12" width="11.28515625" customWidth="1"/>
    <col min="13" max="13" width="9.85546875" customWidth="1"/>
    <col min="14" max="14" width="11.28515625" customWidth="1"/>
    <col min="15" max="15" width="8.140625" customWidth="1"/>
    <col min="16" max="16" width="9" customWidth="1"/>
    <col min="18" max="18" width="11.5703125" customWidth="1"/>
  </cols>
  <sheetData>
    <row r="3" spans="2:18" x14ac:dyDescent="0.25">
      <c r="E3" s="1"/>
      <c r="M3" s="2"/>
      <c r="N3" s="2"/>
      <c r="O3" s="2"/>
    </row>
    <row r="4" spans="2:18" x14ac:dyDescent="0.25">
      <c r="E4" s="1"/>
      <c r="M4" s="2"/>
      <c r="N4" s="2"/>
      <c r="O4" s="2"/>
    </row>
    <row r="5" spans="2:18" x14ac:dyDescent="0.25">
      <c r="E5" s="1"/>
      <c r="M5" s="2"/>
      <c r="N5" s="2"/>
      <c r="O5" s="2"/>
    </row>
    <row r="6" spans="2:18" x14ac:dyDescent="0.25">
      <c r="E6" s="1"/>
      <c r="M6" s="2"/>
      <c r="N6" s="2"/>
      <c r="O6" s="2"/>
    </row>
    <row r="7" spans="2:18" x14ac:dyDescent="0.25">
      <c r="E7" s="1"/>
      <c r="M7" s="2"/>
      <c r="N7" s="2"/>
      <c r="O7" s="2"/>
    </row>
    <row r="8" spans="2:18" x14ac:dyDescent="0.25">
      <c r="B8" s="287" t="s">
        <v>0</v>
      </c>
      <c r="C8" s="287"/>
      <c r="D8" s="287"/>
      <c r="E8" s="287"/>
      <c r="F8" s="287"/>
      <c r="G8" s="287"/>
      <c r="H8" s="287"/>
      <c r="I8" s="287"/>
      <c r="J8" s="287"/>
      <c r="K8" s="287"/>
      <c r="L8" s="287"/>
      <c r="M8" s="287"/>
      <c r="N8" s="287"/>
      <c r="O8" s="287"/>
      <c r="P8" s="287"/>
    </row>
    <row r="9" spans="2:18" ht="4.5" customHeight="1" x14ac:dyDescent="0.25">
      <c r="B9" s="311"/>
      <c r="C9" s="311"/>
      <c r="D9" s="311"/>
      <c r="E9" s="311"/>
      <c r="F9" s="311"/>
      <c r="G9" s="311"/>
      <c r="H9" s="311"/>
      <c r="I9" s="311"/>
      <c r="J9" s="311"/>
      <c r="K9" s="311"/>
      <c r="L9" s="311"/>
      <c r="M9" s="311"/>
      <c r="N9" s="311"/>
      <c r="O9" s="311"/>
      <c r="P9" s="311"/>
    </row>
    <row r="10" spans="2:18" ht="31.5" customHeight="1" x14ac:dyDescent="0.25">
      <c r="B10" s="288" t="s">
        <v>1</v>
      </c>
      <c r="C10" s="289" t="s">
        <v>2</v>
      </c>
      <c r="D10" s="288" t="s">
        <v>3</v>
      </c>
      <c r="E10" s="23" t="s">
        <v>4</v>
      </c>
      <c r="F10" s="312" t="s">
        <v>5</v>
      </c>
      <c r="G10" s="290" t="s">
        <v>6</v>
      </c>
      <c r="H10" s="290"/>
      <c r="I10" s="290"/>
      <c r="J10" s="290"/>
      <c r="K10" s="291" t="s">
        <v>46</v>
      </c>
      <c r="L10" s="290" t="s">
        <v>7</v>
      </c>
      <c r="M10" s="293" t="s">
        <v>43</v>
      </c>
      <c r="N10" s="298" t="s">
        <v>45</v>
      </c>
      <c r="O10" s="296" t="s">
        <v>44</v>
      </c>
      <c r="P10" s="297" t="s">
        <v>8</v>
      </c>
    </row>
    <row r="11" spans="2:18" ht="31.5" customHeight="1" x14ac:dyDescent="0.25">
      <c r="B11" s="288"/>
      <c r="C11" s="289"/>
      <c r="D11" s="288"/>
      <c r="E11" s="3">
        <f>SUM(E12:E21)</f>
        <v>89722</v>
      </c>
      <c r="F11" s="312"/>
      <c r="G11" s="3" t="s">
        <v>9</v>
      </c>
      <c r="H11" s="3" t="s">
        <v>10</v>
      </c>
      <c r="I11" s="3" t="s">
        <v>11</v>
      </c>
      <c r="J11" s="3" t="s">
        <v>12</v>
      </c>
      <c r="K11" s="292"/>
      <c r="L11" s="290"/>
      <c r="M11" s="293"/>
      <c r="N11" s="299"/>
      <c r="O11" s="296"/>
      <c r="P11" s="297"/>
    </row>
    <row r="12" spans="2:18" ht="31.5" customHeight="1" x14ac:dyDescent="0.25">
      <c r="B12" s="7" t="s">
        <v>13</v>
      </c>
      <c r="C12" s="8" t="s">
        <v>14</v>
      </c>
      <c r="D12" s="9" t="s">
        <v>15</v>
      </c>
      <c r="E12" s="3">
        <v>67390</v>
      </c>
      <c r="F12" s="3"/>
      <c r="G12" s="24">
        <v>13798.5</v>
      </c>
      <c r="H12" s="24">
        <v>13798.5</v>
      </c>
      <c r="I12" s="24">
        <f>4599.5*2</f>
        <v>9199</v>
      </c>
      <c r="J12" s="25">
        <v>0</v>
      </c>
      <c r="K12" s="25">
        <v>0</v>
      </c>
      <c r="L12" s="26">
        <f>SUM(G12:K12)</f>
        <v>36796</v>
      </c>
      <c r="M12" s="27">
        <f>SUM(L12/E11)</f>
        <v>0.41011123247364079</v>
      </c>
      <c r="N12" s="28">
        <f t="shared" ref="N12:N21" si="0">E12-L12</f>
        <v>30594</v>
      </c>
      <c r="O12" s="29">
        <f>N12/E11</f>
        <v>0.34098660306279394</v>
      </c>
      <c r="P12" s="30">
        <f>O12+M12</f>
        <v>0.75109783553643472</v>
      </c>
      <c r="R12" s="15"/>
    </row>
    <row r="13" spans="2:18" ht="31.5" customHeight="1" x14ac:dyDescent="0.25">
      <c r="B13" s="7" t="s">
        <v>13</v>
      </c>
      <c r="C13" s="7" t="s">
        <v>16</v>
      </c>
      <c r="D13" s="11" t="s">
        <v>17</v>
      </c>
      <c r="E13" s="12">
        <v>3000</v>
      </c>
      <c r="F13" s="12"/>
      <c r="G13" s="31">
        <v>200</v>
      </c>
      <c r="H13" s="31">
        <v>250</v>
      </c>
      <c r="I13" s="31">
        <v>250</v>
      </c>
      <c r="J13" s="32">
        <v>0</v>
      </c>
      <c r="K13" s="32"/>
      <c r="L13" s="26">
        <f>SUM(G13:J13)</f>
        <v>700</v>
      </c>
      <c r="M13" s="27">
        <f>L13/E11</f>
        <v>7.8018769086734578E-3</v>
      </c>
      <c r="N13" s="28">
        <f t="shared" si="0"/>
        <v>2300</v>
      </c>
      <c r="O13" s="29">
        <f>N13/E11</f>
        <v>2.563473841421279E-2</v>
      </c>
      <c r="P13" s="33">
        <f>O13+M13</f>
        <v>3.3436615322886248E-2</v>
      </c>
    </row>
    <row r="14" spans="2:18" ht="31.5" customHeight="1" x14ac:dyDescent="0.25">
      <c r="B14" s="7" t="s">
        <v>13</v>
      </c>
      <c r="C14" s="7" t="s">
        <v>18</v>
      </c>
      <c r="D14" s="11" t="s">
        <v>19</v>
      </c>
      <c r="E14" s="12">
        <v>1000</v>
      </c>
      <c r="F14" s="12"/>
      <c r="G14" s="31"/>
      <c r="H14" s="31">
        <v>250</v>
      </c>
      <c r="I14" s="32">
        <v>0</v>
      </c>
      <c r="J14" s="32">
        <v>0</v>
      </c>
      <c r="K14" s="32"/>
      <c r="L14" s="26">
        <f>SUM(G14:J14)</f>
        <v>250</v>
      </c>
      <c r="M14" s="27">
        <f>L14/E11</f>
        <v>2.7863846102405207E-3</v>
      </c>
      <c r="N14" s="28">
        <f t="shared" si="0"/>
        <v>750</v>
      </c>
      <c r="O14" s="29">
        <f>N14/E11</f>
        <v>8.3591538307215621E-3</v>
      </c>
      <c r="P14" s="33">
        <f t="shared" ref="P14:P21" si="1">O14+M14</f>
        <v>1.1145538440962083E-2</v>
      </c>
    </row>
    <row r="15" spans="2:18" ht="31.5" customHeight="1" x14ac:dyDescent="0.25">
      <c r="B15" s="7" t="s">
        <v>13</v>
      </c>
      <c r="C15" s="7" t="s">
        <v>20</v>
      </c>
      <c r="D15" s="11" t="s">
        <v>21</v>
      </c>
      <c r="E15" s="12">
        <v>2000</v>
      </c>
      <c r="F15" s="12"/>
      <c r="G15" s="31">
        <v>500</v>
      </c>
      <c r="H15" s="31">
        <v>500</v>
      </c>
      <c r="I15" s="32">
        <v>0</v>
      </c>
      <c r="J15" s="32">
        <v>0</v>
      </c>
      <c r="K15" s="32"/>
      <c r="L15" s="26">
        <f>SUM(G15:J15)</f>
        <v>1000</v>
      </c>
      <c r="M15" s="27">
        <f>L15/E11</f>
        <v>1.1145538440962083E-2</v>
      </c>
      <c r="N15" s="28">
        <f t="shared" si="0"/>
        <v>1000</v>
      </c>
      <c r="O15" s="29">
        <f>N15/E11</f>
        <v>1.1145538440962083E-2</v>
      </c>
      <c r="P15" s="33">
        <f t="shared" si="1"/>
        <v>2.2291076881924166E-2</v>
      </c>
    </row>
    <row r="16" spans="2:18" ht="31.5" customHeight="1" x14ac:dyDescent="0.25">
      <c r="B16" s="7" t="s">
        <v>13</v>
      </c>
      <c r="C16" s="7" t="s">
        <v>22</v>
      </c>
      <c r="D16" s="11" t="s">
        <v>23</v>
      </c>
      <c r="E16" s="12">
        <v>2548</v>
      </c>
      <c r="F16" s="12"/>
      <c r="G16" s="31">
        <v>637</v>
      </c>
      <c r="H16" s="31">
        <v>637</v>
      </c>
      <c r="I16" s="31">
        <v>637</v>
      </c>
      <c r="J16" s="32">
        <v>0</v>
      </c>
      <c r="K16" s="32"/>
      <c r="L16" s="26">
        <f>SUM(G16:J16)</f>
        <v>1911</v>
      </c>
      <c r="M16" s="27">
        <f>L16/E11</f>
        <v>2.129912396067854E-2</v>
      </c>
      <c r="N16" s="28">
        <f t="shared" si="0"/>
        <v>637</v>
      </c>
      <c r="O16" s="29">
        <f>N16/E11</f>
        <v>7.0997079868928472E-3</v>
      </c>
      <c r="P16" s="33">
        <f t="shared" si="1"/>
        <v>2.8398831947571389E-2</v>
      </c>
    </row>
    <row r="17" spans="1:16" ht="31.5" customHeight="1" x14ac:dyDescent="0.25">
      <c r="B17" s="7" t="s">
        <v>13</v>
      </c>
      <c r="C17" s="7" t="s">
        <v>24</v>
      </c>
      <c r="D17" s="11" t="s">
        <v>25</v>
      </c>
      <c r="E17" s="12">
        <v>1200</v>
      </c>
      <c r="F17" s="12"/>
      <c r="G17" s="34">
        <v>0</v>
      </c>
      <c r="H17" s="34">
        <v>0</v>
      </c>
      <c r="I17" s="35">
        <v>0</v>
      </c>
      <c r="J17" s="35">
        <v>0</v>
      </c>
      <c r="K17" s="35"/>
      <c r="L17" s="26">
        <f t="shared" ref="L17" si="2">SUM(G17:J17)</f>
        <v>0</v>
      </c>
      <c r="M17" s="27">
        <v>0</v>
      </c>
      <c r="N17" s="28">
        <f t="shared" si="0"/>
        <v>1200</v>
      </c>
      <c r="O17" s="29">
        <f>N17/E11</f>
        <v>1.33746461291545E-2</v>
      </c>
      <c r="P17" s="33">
        <f t="shared" si="1"/>
        <v>1.33746461291545E-2</v>
      </c>
    </row>
    <row r="18" spans="1:16" ht="31.5" customHeight="1" x14ac:dyDescent="0.25">
      <c r="B18" s="7" t="s">
        <v>13</v>
      </c>
      <c r="C18" s="7" t="s">
        <v>26</v>
      </c>
      <c r="D18" s="11" t="s">
        <v>27</v>
      </c>
      <c r="E18" s="12">
        <v>3000</v>
      </c>
      <c r="F18" s="12"/>
      <c r="G18" s="31">
        <v>750</v>
      </c>
      <c r="H18" s="31">
        <v>750</v>
      </c>
      <c r="I18" s="32">
        <v>0</v>
      </c>
      <c r="J18" s="32">
        <v>0</v>
      </c>
      <c r="K18" s="32"/>
      <c r="L18" s="26">
        <f>SUM(G18:J18)</f>
        <v>1500</v>
      </c>
      <c r="M18" s="27">
        <f>L18/E11</f>
        <v>1.6718307661443124E-2</v>
      </c>
      <c r="N18" s="28">
        <f t="shared" si="0"/>
        <v>1500</v>
      </c>
      <c r="O18" s="29">
        <f>N18/E11</f>
        <v>1.6718307661443124E-2</v>
      </c>
      <c r="P18" s="33">
        <f t="shared" si="1"/>
        <v>3.3436615322886248E-2</v>
      </c>
    </row>
    <row r="19" spans="1:16" ht="31.5" customHeight="1" x14ac:dyDescent="0.25">
      <c r="B19" s="7" t="s">
        <v>13</v>
      </c>
      <c r="C19" s="7" t="s">
        <v>28</v>
      </c>
      <c r="D19" s="11" t="s">
        <v>29</v>
      </c>
      <c r="E19" s="12">
        <v>5304</v>
      </c>
      <c r="F19" s="12"/>
      <c r="G19" s="31">
        <f>136*3*2</f>
        <v>816</v>
      </c>
      <c r="H19" s="31">
        <v>1224</v>
      </c>
      <c r="I19" s="31">
        <f>136*3*2</f>
        <v>816</v>
      </c>
      <c r="J19" s="32">
        <v>0</v>
      </c>
      <c r="K19" s="32"/>
      <c r="L19" s="26">
        <f>SUM(G19:J19)</f>
        <v>2856</v>
      </c>
      <c r="M19" s="27">
        <f>L19/E11</f>
        <v>3.183165778738771E-2</v>
      </c>
      <c r="N19" s="28">
        <f t="shared" si="0"/>
        <v>2448</v>
      </c>
      <c r="O19" s="29">
        <f>N19/E11</f>
        <v>2.7284278103475178E-2</v>
      </c>
      <c r="P19" s="33">
        <f t="shared" si="1"/>
        <v>5.9115935890862892E-2</v>
      </c>
    </row>
    <row r="20" spans="1:16" ht="31.5" customHeight="1" x14ac:dyDescent="0.25">
      <c r="B20" s="7" t="s">
        <v>13</v>
      </c>
      <c r="C20" s="7" t="s">
        <v>30</v>
      </c>
      <c r="D20" s="11" t="s">
        <v>31</v>
      </c>
      <c r="E20" s="12">
        <v>2280</v>
      </c>
      <c r="F20" s="12"/>
      <c r="G20" s="31">
        <v>570</v>
      </c>
      <c r="H20" s="31">
        <v>570</v>
      </c>
      <c r="I20" s="32">
        <v>0</v>
      </c>
      <c r="J20" s="32">
        <v>0</v>
      </c>
      <c r="K20" s="32"/>
      <c r="L20" s="26">
        <f>SUM(G20:J20)</f>
        <v>1140</v>
      </c>
      <c r="M20" s="27">
        <f>L20/E11</f>
        <v>1.2705913822696775E-2</v>
      </c>
      <c r="N20" s="28">
        <f t="shared" si="0"/>
        <v>1140</v>
      </c>
      <c r="O20" s="29">
        <f>N20/E11</f>
        <v>1.2705913822696775E-2</v>
      </c>
      <c r="P20" s="33">
        <f t="shared" si="1"/>
        <v>2.5411827645393549E-2</v>
      </c>
    </row>
    <row r="21" spans="1:16" ht="31.5" customHeight="1" x14ac:dyDescent="0.25">
      <c r="B21" s="7" t="s">
        <v>13</v>
      </c>
      <c r="C21" s="7" t="s">
        <v>32</v>
      </c>
      <c r="D21" s="11" t="s">
        <v>33</v>
      </c>
      <c r="E21" s="12">
        <v>2000</v>
      </c>
      <c r="F21" s="12"/>
      <c r="G21" s="31">
        <v>500</v>
      </c>
      <c r="H21" s="31">
        <v>500</v>
      </c>
      <c r="I21" s="32">
        <v>0</v>
      </c>
      <c r="J21" s="32">
        <v>0</v>
      </c>
      <c r="K21" s="32"/>
      <c r="L21" s="26">
        <f>SUM(G21:J21)</f>
        <v>1000</v>
      </c>
      <c r="M21" s="27">
        <f>L21/E11</f>
        <v>1.1145538440962083E-2</v>
      </c>
      <c r="N21" s="28">
        <f t="shared" si="0"/>
        <v>1000</v>
      </c>
      <c r="O21" s="29">
        <f>N21/E11</f>
        <v>1.1145538440962083E-2</v>
      </c>
      <c r="P21" s="33">
        <f t="shared" si="1"/>
        <v>2.2291076881924166E-2</v>
      </c>
    </row>
    <row r="22" spans="1:16" ht="31.5" customHeight="1" x14ac:dyDescent="0.25">
      <c r="B22" s="280" t="s">
        <v>34</v>
      </c>
      <c r="C22" s="281"/>
      <c r="D22" s="281"/>
      <c r="E22" s="281"/>
      <c r="F22" s="282"/>
      <c r="G22" s="36">
        <f>SUM(G12:G21)</f>
        <v>17771.5</v>
      </c>
      <c r="H22" s="36">
        <f>SUM(H12:H21)</f>
        <v>18479.5</v>
      </c>
      <c r="I22" s="36">
        <f>SUM(I12:I21)</f>
        <v>10902</v>
      </c>
      <c r="J22" s="37">
        <f>SUM(J12:J21)</f>
        <v>0</v>
      </c>
      <c r="K22" s="37"/>
      <c r="L22" s="26">
        <f>SUM(L12:L21)</f>
        <v>47153</v>
      </c>
      <c r="M22" s="27">
        <f>SUM(M12:M21)</f>
        <v>0.52554557410668512</v>
      </c>
      <c r="N22" s="28">
        <f>SUM(N12:N21)</f>
        <v>42569</v>
      </c>
      <c r="O22" s="29">
        <f>SUM(O12:O21)</f>
        <v>0.47445442589331488</v>
      </c>
      <c r="P22" s="38">
        <f>SUM(P12:P21)</f>
        <v>1</v>
      </c>
    </row>
    <row r="23" spans="1:16" ht="31.5" customHeight="1" x14ac:dyDescent="0.3">
      <c r="B23" s="280" t="s">
        <v>34</v>
      </c>
      <c r="C23" s="281"/>
      <c r="D23" s="281"/>
      <c r="E23" s="281"/>
      <c r="F23" s="281"/>
      <c r="G23" s="281"/>
      <c r="H23" s="281"/>
      <c r="I23" s="281"/>
      <c r="J23" s="282"/>
      <c r="K23" s="313">
        <f>L22+N22</f>
        <v>89722</v>
      </c>
      <c r="L23" s="314"/>
      <c r="M23" s="314"/>
      <c r="N23" s="314"/>
      <c r="O23" s="314"/>
      <c r="P23" s="315"/>
    </row>
    <row r="24" spans="1:16" x14ac:dyDescent="0.25">
      <c r="E24" s="1"/>
      <c r="G24" s="15"/>
      <c r="L24" s="15"/>
      <c r="M24" s="2"/>
      <c r="N24" s="2"/>
      <c r="O24" s="2"/>
    </row>
    <row r="25" spans="1:16" x14ac:dyDescent="0.25">
      <c r="E25" s="1"/>
      <c r="M25" s="2"/>
      <c r="N25" s="2"/>
      <c r="O25" s="2"/>
    </row>
    <row r="26" spans="1:16" ht="15.75" x14ac:dyDescent="0.25">
      <c r="A26" t="s">
        <v>35</v>
      </c>
      <c r="B26" s="283" t="s">
        <v>36</v>
      </c>
      <c r="C26" s="283"/>
      <c r="E26" s="1"/>
      <c r="H26" s="279" t="s">
        <v>37</v>
      </c>
      <c r="I26" s="279"/>
      <c r="J26" s="279"/>
      <c r="K26" s="279"/>
      <c r="L26" s="279"/>
      <c r="M26" s="279"/>
      <c r="N26" s="4"/>
      <c r="O26" s="4"/>
    </row>
    <row r="27" spans="1:16" ht="15.75" x14ac:dyDescent="0.25">
      <c r="B27" s="284" t="s">
        <v>38</v>
      </c>
      <c r="C27" s="284"/>
      <c r="E27" s="1"/>
      <c r="M27" s="2"/>
      <c r="N27" s="2"/>
      <c r="O27" s="2"/>
    </row>
    <row r="28" spans="1:16" x14ac:dyDescent="0.25">
      <c r="E28" s="1"/>
      <c r="M28" s="2"/>
      <c r="N28" s="2"/>
      <c r="O28" s="2"/>
    </row>
    <row r="29" spans="1:16" x14ac:dyDescent="0.25">
      <c r="E29" s="1"/>
      <c r="M29" s="2"/>
      <c r="N29" s="2"/>
      <c r="O29" s="2"/>
    </row>
    <row r="30" spans="1:16" ht="15.75" x14ac:dyDescent="0.25">
      <c r="B30" s="285" t="s">
        <v>39</v>
      </c>
      <c r="C30" s="284"/>
      <c r="E30" s="1"/>
      <c r="H30" s="286" t="s">
        <v>40</v>
      </c>
      <c r="I30" s="286"/>
      <c r="J30" s="286"/>
      <c r="K30" s="286"/>
      <c r="L30" s="286"/>
      <c r="M30" s="286"/>
      <c r="N30" s="5"/>
      <c r="O30" s="5"/>
    </row>
    <row r="31" spans="1:16" x14ac:dyDescent="0.25">
      <c r="B31" s="278" t="s">
        <v>41</v>
      </c>
      <c r="C31" s="278"/>
      <c r="E31" s="1"/>
      <c r="H31" s="279" t="s">
        <v>42</v>
      </c>
      <c r="I31" s="279"/>
      <c r="J31" s="279"/>
      <c r="K31" s="279"/>
      <c r="L31" s="279"/>
      <c r="M31" s="279"/>
      <c r="N31" s="4"/>
      <c r="O31" s="4"/>
    </row>
  </sheetData>
  <mergeCells count="22">
    <mergeCell ref="B23:J23"/>
    <mergeCell ref="B27:C27"/>
    <mergeCell ref="B30:C30"/>
    <mergeCell ref="H30:M30"/>
    <mergeCell ref="B31:C31"/>
    <mergeCell ref="H31:M31"/>
    <mergeCell ref="B26:C26"/>
    <mergeCell ref="H26:M26"/>
    <mergeCell ref="K23:P23"/>
    <mergeCell ref="B22:F22"/>
    <mergeCell ref="B8:P9"/>
    <mergeCell ref="B10:B11"/>
    <mergeCell ref="C10:C11"/>
    <mergeCell ref="D10:D11"/>
    <mergeCell ref="F10:F11"/>
    <mergeCell ref="G10:J10"/>
    <mergeCell ref="K10:K11"/>
    <mergeCell ref="L10:L11"/>
    <mergeCell ref="M10:M11"/>
    <mergeCell ref="N10:N11"/>
    <mergeCell ref="O10:O11"/>
    <mergeCell ref="P10:P11"/>
  </mergeCells>
  <pageMargins left="0.25" right="0.25" top="0.25" bottom="0.25" header="0.3" footer="0.3"/>
  <pageSetup scale="80" orientation="landscape" horizontalDpi="4294967293"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2EE4D1-2744-4FA7-A2E6-2891CC482615}">
  <sheetPr>
    <pageSetUpPr fitToPage="1"/>
  </sheetPr>
  <dimension ref="A3:BM52"/>
  <sheetViews>
    <sheetView topLeftCell="R18" zoomScale="50" zoomScaleNormal="50" zoomScaleSheetLayoutView="70" workbookViewId="0">
      <selection activeCell="C9" sqref="C9"/>
    </sheetView>
  </sheetViews>
  <sheetFormatPr defaultRowHeight="15" x14ac:dyDescent="0.25"/>
  <cols>
    <col min="1" max="1" width="5.85546875" customWidth="1"/>
    <col min="2" max="2" width="17.7109375" customWidth="1"/>
    <col min="3" max="3" width="20.42578125" customWidth="1"/>
    <col min="4" max="4" width="32.7109375" customWidth="1"/>
    <col min="5" max="16" width="6.7109375" customWidth="1"/>
    <col min="17" max="17" width="23" customWidth="1"/>
    <col min="18" max="18" width="14.28515625" customWidth="1"/>
    <col min="19" max="19" width="32.140625" customWidth="1"/>
    <col min="20" max="31" width="6.7109375" customWidth="1"/>
    <col min="32" max="32" width="21.5703125" customWidth="1"/>
    <col min="33" max="33" width="14.140625" customWidth="1"/>
    <col min="34" max="34" width="32.42578125" customWidth="1"/>
    <col min="35" max="46" width="6.7109375" customWidth="1"/>
    <col min="47" max="47" width="21.5703125" customWidth="1"/>
    <col min="48" max="48" width="13.85546875" customWidth="1"/>
    <col min="49" max="49" width="30.7109375" customWidth="1"/>
    <col min="50" max="61" width="6.7109375" customWidth="1"/>
    <col min="62" max="62" width="21.5703125" customWidth="1"/>
    <col min="63" max="63" width="14.5703125" customWidth="1"/>
    <col min="64" max="64" width="30.140625" customWidth="1"/>
    <col min="65" max="65" width="24" customWidth="1"/>
  </cols>
  <sheetData>
    <row r="3" spans="1:65" x14ac:dyDescent="0.25">
      <c r="Q3" s="1"/>
      <c r="R3" s="1"/>
    </row>
    <row r="4" spans="1:65" x14ac:dyDescent="0.25">
      <c r="Q4" s="1"/>
      <c r="R4" s="1"/>
    </row>
    <row r="5" spans="1:65" x14ac:dyDescent="0.25">
      <c r="Q5" s="1"/>
      <c r="R5" s="1"/>
    </row>
    <row r="6" spans="1:65" x14ac:dyDescent="0.25">
      <c r="Q6" s="1"/>
      <c r="R6" s="1"/>
    </row>
    <row r="7" spans="1:65" x14ac:dyDescent="0.25">
      <c r="Q7" s="1"/>
      <c r="R7" s="1"/>
    </row>
    <row r="8" spans="1:65" x14ac:dyDescent="0.25">
      <c r="Q8" s="1"/>
      <c r="R8" s="1"/>
    </row>
    <row r="9" spans="1:65" ht="60.75" customHeight="1" x14ac:dyDescent="0.25">
      <c r="Q9" s="1"/>
      <c r="R9" s="1"/>
    </row>
    <row r="10" spans="1:65" ht="72.75" customHeight="1" x14ac:dyDescent="0.25">
      <c r="A10" s="334" t="s">
        <v>146</v>
      </c>
      <c r="B10" s="334"/>
      <c r="C10" s="334"/>
      <c r="D10" s="334"/>
      <c r="E10" s="334"/>
      <c r="F10" s="334"/>
      <c r="G10" s="334"/>
      <c r="H10" s="334"/>
      <c r="I10" s="334"/>
      <c r="J10" s="334"/>
      <c r="K10" s="334"/>
      <c r="L10" s="334"/>
      <c r="M10" s="334"/>
      <c r="N10" s="334"/>
      <c r="O10" s="334"/>
      <c r="P10" s="334"/>
      <c r="Q10" s="334"/>
      <c r="R10" s="334"/>
      <c r="S10" s="334"/>
      <c r="T10" s="334"/>
      <c r="U10" s="334"/>
      <c r="V10" s="334"/>
      <c r="W10" s="334"/>
      <c r="X10" s="334"/>
      <c r="Y10" s="334"/>
      <c r="Z10" s="334"/>
      <c r="AA10" s="334"/>
      <c r="AB10" s="334"/>
      <c r="AC10" s="334"/>
      <c r="AD10" s="334"/>
      <c r="AE10" s="334"/>
      <c r="AF10" s="334"/>
      <c r="AG10" s="334"/>
      <c r="AH10" s="334"/>
      <c r="AI10" s="334"/>
      <c r="AJ10" s="334"/>
      <c r="AK10" s="334"/>
      <c r="AL10" s="334"/>
      <c r="AM10" s="334"/>
      <c r="AN10" s="334"/>
      <c r="AO10" s="334"/>
      <c r="AP10" s="334"/>
      <c r="AQ10" s="334"/>
      <c r="AR10" s="334"/>
      <c r="AS10" s="334"/>
      <c r="AT10" s="334"/>
      <c r="AU10" s="334"/>
      <c r="AV10" s="334"/>
      <c r="AW10" s="334"/>
      <c r="AX10" s="334"/>
      <c r="AY10" s="334"/>
      <c r="AZ10" s="334"/>
      <c r="BA10" s="334"/>
      <c r="BB10" s="334"/>
      <c r="BC10" s="334"/>
      <c r="BD10" s="334"/>
      <c r="BE10" s="334"/>
      <c r="BF10" s="334"/>
      <c r="BG10" s="334"/>
      <c r="BH10" s="334"/>
      <c r="BI10" s="334"/>
      <c r="BJ10" s="334"/>
      <c r="BK10" s="334"/>
      <c r="BL10" s="334"/>
      <c r="BM10" s="334"/>
    </row>
    <row r="11" spans="1:65" ht="60.75" customHeight="1" x14ac:dyDescent="0.25">
      <c r="A11" s="97"/>
      <c r="B11" s="97"/>
      <c r="C11" s="97"/>
      <c r="D11" s="109"/>
      <c r="E11" s="97"/>
      <c r="F11" s="97"/>
      <c r="G11" s="97"/>
      <c r="H11" s="97"/>
      <c r="I11" s="97"/>
      <c r="J11" s="97"/>
      <c r="K11" s="97"/>
      <c r="L11" s="97"/>
      <c r="M11" s="97"/>
      <c r="N11" s="97"/>
      <c r="O11" s="97"/>
      <c r="P11" s="97"/>
      <c r="Q11" s="109"/>
      <c r="R11" s="109"/>
      <c r="S11" s="109"/>
      <c r="T11" s="97"/>
      <c r="U11" s="97"/>
      <c r="V11" s="97"/>
      <c r="W11" s="97"/>
      <c r="X11" s="97"/>
      <c r="Y11" s="97"/>
      <c r="Z11" s="97"/>
      <c r="AA11" s="97"/>
      <c r="AB11" s="97"/>
      <c r="AC11" s="97"/>
      <c r="AD11" s="97"/>
      <c r="AE11" s="97"/>
      <c r="AF11" s="109"/>
      <c r="AG11" s="109"/>
      <c r="AH11" s="109"/>
      <c r="AI11" s="97"/>
      <c r="AJ11" s="97"/>
      <c r="AK11" s="97"/>
      <c r="AL11" s="97"/>
      <c r="AM11" s="97"/>
      <c r="AN11" s="97"/>
      <c r="AO11" s="97"/>
      <c r="AP11" s="97"/>
      <c r="AQ11" s="97"/>
      <c r="AR11" s="97"/>
      <c r="AS11" s="97"/>
      <c r="AT11" s="97"/>
      <c r="AU11" s="109"/>
      <c r="AV11" s="109"/>
      <c r="AW11" s="109"/>
      <c r="AX11" s="97"/>
      <c r="AY11" s="97"/>
      <c r="AZ11" s="97"/>
      <c r="BA11" s="97"/>
      <c r="BB11" s="97"/>
      <c r="BC11" s="97"/>
      <c r="BD11" s="97"/>
      <c r="BE11" s="97"/>
      <c r="BF11" s="97"/>
      <c r="BG11" s="97"/>
      <c r="BH11" s="97"/>
      <c r="BI11" s="97"/>
      <c r="BJ11" s="109"/>
      <c r="BK11" s="109"/>
      <c r="BL11" s="109"/>
      <c r="BM11" s="97"/>
    </row>
    <row r="12" spans="1:65" ht="87.75" customHeight="1" x14ac:dyDescent="0.25">
      <c r="A12" s="332" t="s">
        <v>68</v>
      </c>
      <c r="B12" s="333" t="s">
        <v>1</v>
      </c>
      <c r="C12" s="332" t="s">
        <v>95</v>
      </c>
      <c r="D12" s="335" t="s">
        <v>96</v>
      </c>
      <c r="E12" s="332" t="s">
        <v>97</v>
      </c>
      <c r="F12" s="332"/>
      <c r="G12" s="332"/>
      <c r="H12" s="332"/>
      <c r="I12" s="332" t="s">
        <v>98</v>
      </c>
      <c r="J12" s="332"/>
      <c r="K12" s="332"/>
      <c r="L12" s="332"/>
      <c r="M12" s="332" t="s">
        <v>99</v>
      </c>
      <c r="N12" s="332"/>
      <c r="O12" s="332"/>
      <c r="P12" s="332"/>
      <c r="Q12" s="328" t="s">
        <v>104</v>
      </c>
      <c r="R12" s="328" t="s">
        <v>105</v>
      </c>
      <c r="S12" s="330" t="s">
        <v>106</v>
      </c>
      <c r="T12" s="332" t="s">
        <v>108</v>
      </c>
      <c r="U12" s="332"/>
      <c r="V12" s="332"/>
      <c r="W12" s="332"/>
      <c r="X12" s="332" t="s">
        <v>109</v>
      </c>
      <c r="Y12" s="332"/>
      <c r="Z12" s="332"/>
      <c r="AA12" s="332"/>
      <c r="AB12" s="332" t="s">
        <v>110</v>
      </c>
      <c r="AC12" s="332"/>
      <c r="AD12" s="332"/>
      <c r="AE12" s="332"/>
      <c r="AF12" s="328" t="s">
        <v>104</v>
      </c>
      <c r="AG12" s="328" t="s">
        <v>105</v>
      </c>
      <c r="AH12" s="330" t="s">
        <v>106</v>
      </c>
      <c r="AI12" s="332" t="s">
        <v>115</v>
      </c>
      <c r="AJ12" s="332"/>
      <c r="AK12" s="332"/>
      <c r="AL12" s="332"/>
      <c r="AM12" s="332" t="s">
        <v>116</v>
      </c>
      <c r="AN12" s="332"/>
      <c r="AO12" s="332"/>
      <c r="AP12" s="332"/>
      <c r="AQ12" s="332" t="s">
        <v>117</v>
      </c>
      <c r="AR12" s="332"/>
      <c r="AS12" s="332"/>
      <c r="AT12" s="332"/>
      <c r="AU12" s="328" t="s">
        <v>104</v>
      </c>
      <c r="AV12" s="328" t="s">
        <v>105</v>
      </c>
      <c r="AW12" s="330" t="s">
        <v>106</v>
      </c>
      <c r="AX12" s="332" t="s">
        <v>118</v>
      </c>
      <c r="AY12" s="332"/>
      <c r="AZ12" s="332"/>
      <c r="BA12" s="332"/>
      <c r="BB12" s="332" t="s">
        <v>119</v>
      </c>
      <c r="BC12" s="332"/>
      <c r="BD12" s="332"/>
      <c r="BE12" s="332"/>
      <c r="BF12" s="332" t="s">
        <v>120</v>
      </c>
      <c r="BG12" s="332"/>
      <c r="BH12" s="332"/>
      <c r="BI12" s="332"/>
      <c r="BJ12" s="328" t="s">
        <v>104</v>
      </c>
      <c r="BK12" s="328" t="s">
        <v>105</v>
      </c>
      <c r="BL12" s="330" t="s">
        <v>106</v>
      </c>
      <c r="BM12" s="333" t="s">
        <v>107</v>
      </c>
    </row>
    <row r="13" spans="1:65" ht="94.5" customHeight="1" x14ac:dyDescent="0.25">
      <c r="A13" s="332"/>
      <c r="B13" s="333"/>
      <c r="C13" s="332"/>
      <c r="D13" s="336"/>
      <c r="E13" s="113" t="s">
        <v>100</v>
      </c>
      <c r="F13" s="113" t="s">
        <v>101</v>
      </c>
      <c r="G13" s="113" t="s">
        <v>102</v>
      </c>
      <c r="H13" s="113" t="s">
        <v>103</v>
      </c>
      <c r="I13" s="113" t="s">
        <v>100</v>
      </c>
      <c r="J13" s="113" t="s">
        <v>101</v>
      </c>
      <c r="K13" s="113" t="s">
        <v>102</v>
      </c>
      <c r="L13" s="113" t="s">
        <v>103</v>
      </c>
      <c r="M13" s="113" t="s">
        <v>100</v>
      </c>
      <c r="N13" s="113" t="s">
        <v>101</v>
      </c>
      <c r="O13" s="113" t="s">
        <v>102</v>
      </c>
      <c r="P13" s="113" t="s">
        <v>103</v>
      </c>
      <c r="Q13" s="329"/>
      <c r="R13" s="329"/>
      <c r="S13" s="331"/>
      <c r="T13" s="113" t="s">
        <v>100</v>
      </c>
      <c r="U13" s="113" t="s">
        <v>101</v>
      </c>
      <c r="V13" s="113" t="s">
        <v>102</v>
      </c>
      <c r="W13" s="113" t="s">
        <v>103</v>
      </c>
      <c r="X13" s="113" t="s">
        <v>100</v>
      </c>
      <c r="Y13" s="113" t="s">
        <v>101</v>
      </c>
      <c r="Z13" s="113" t="s">
        <v>102</v>
      </c>
      <c r="AA13" s="113" t="s">
        <v>103</v>
      </c>
      <c r="AB13" s="113" t="s">
        <v>100</v>
      </c>
      <c r="AC13" s="113" t="s">
        <v>101</v>
      </c>
      <c r="AD13" s="113" t="s">
        <v>102</v>
      </c>
      <c r="AE13" s="113" t="s">
        <v>103</v>
      </c>
      <c r="AF13" s="329"/>
      <c r="AG13" s="329"/>
      <c r="AH13" s="331"/>
      <c r="AI13" s="113" t="s">
        <v>100</v>
      </c>
      <c r="AJ13" s="113" t="s">
        <v>101</v>
      </c>
      <c r="AK13" s="113" t="s">
        <v>102</v>
      </c>
      <c r="AL13" s="113" t="s">
        <v>103</v>
      </c>
      <c r="AM13" s="113" t="s">
        <v>100</v>
      </c>
      <c r="AN13" s="113" t="s">
        <v>101</v>
      </c>
      <c r="AO13" s="113" t="s">
        <v>102</v>
      </c>
      <c r="AP13" s="113" t="s">
        <v>103</v>
      </c>
      <c r="AQ13" s="113" t="s">
        <v>100</v>
      </c>
      <c r="AR13" s="113" t="s">
        <v>101</v>
      </c>
      <c r="AS13" s="113" t="s">
        <v>102</v>
      </c>
      <c r="AT13" s="113" t="s">
        <v>103</v>
      </c>
      <c r="AU13" s="329"/>
      <c r="AV13" s="329"/>
      <c r="AW13" s="331"/>
      <c r="AX13" s="113" t="s">
        <v>100</v>
      </c>
      <c r="AY13" s="113" t="s">
        <v>101</v>
      </c>
      <c r="AZ13" s="113" t="s">
        <v>102</v>
      </c>
      <c r="BA13" s="113" t="s">
        <v>103</v>
      </c>
      <c r="BB13" s="113" t="s">
        <v>100</v>
      </c>
      <c r="BC13" s="113" t="s">
        <v>101</v>
      </c>
      <c r="BD13" s="113" t="s">
        <v>102</v>
      </c>
      <c r="BE13" s="113" t="s">
        <v>103</v>
      </c>
      <c r="BF13" s="113" t="s">
        <v>100</v>
      </c>
      <c r="BG13" s="113" t="s">
        <v>101</v>
      </c>
      <c r="BH13" s="113" t="s">
        <v>102</v>
      </c>
      <c r="BI13" s="113" t="s">
        <v>103</v>
      </c>
      <c r="BJ13" s="329"/>
      <c r="BK13" s="329"/>
      <c r="BL13" s="331"/>
      <c r="BM13" s="333"/>
    </row>
    <row r="14" spans="1:65" s="111" customFormat="1" ht="219.75" customHeight="1" x14ac:dyDescent="0.3">
      <c r="A14" s="114">
        <v>1</v>
      </c>
      <c r="B14" s="115" t="s">
        <v>148</v>
      </c>
      <c r="C14" s="116" t="s">
        <v>157</v>
      </c>
      <c r="D14" s="117" t="s">
        <v>167</v>
      </c>
      <c r="E14" s="116"/>
      <c r="F14" s="116"/>
      <c r="G14" s="116"/>
      <c r="H14" s="118"/>
      <c r="I14" s="116"/>
      <c r="J14" s="119"/>
      <c r="K14" s="119"/>
      <c r="L14" s="119"/>
      <c r="M14" s="119"/>
      <c r="N14" s="119"/>
      <c r="O14" s="119"/>
      <c r="P14" s="119"/>
      <c r="Q14" s="120">
        <f>15312/4</f>
        <v>3828</v>
      </c>
      <c r="R14" s="121" t="s">
        <v>69</v>
      </c>
      <c r="S14" s="117" t="s">
        <v>147</v>
      </c>
      <c r="T14" s="116"/>
      <c r="U14" s="116"/>
      <c r="V14" s="116"/>
      <c r="W14" s="118"/>
      <c r="X14" s="116"/>
      <c r="Y14" s="119"/>
      <c r="Z14" s="119"/>
      <c r="AA14" s="119"/>
      <c r="AB14" s="119"/>
      <c r="AC14" s="119"/>
      <c r="AD14" s="119"/>
      <c r="AE14" s="119"/>
      <c r="AF14" s="120">
        <f>Q14</f>
        <v>3828</v>
      </c>
      <c r="AG14" s="121" t="s">
        <v>159</v>
      </c>
      <c r="AH14" s="117" t="str">
        <f>S14</f>
        <v>Orsamento ida ne'e hodi selu Suplemento Cargo ba Chefe Departamento inklui Suplemento ba Cargo Director</v>
      </c>
      <c r="AI14" s="116"/>
      <c r="AJ14" s="116"/>
      <c r="AK14" s="116"/>
      <c r="AL14" s="118"/>
      <c r="AM14" s="116"/>
      <c r="AN14" s="119"/>
      <c r="AO14" s="119"/>
      <c r="AP14" s="119"/>
      <c r="AQ14" s="119"/>
      <c r="AR14" s="119"/>
      <c r="AS14" s="119"/>
      <c r="AT14" s="119"/>
      <c r="AU14" s="120">
        <f>AF14</f>
        <v>3828</v>
      </c>
      <c r="AV14" s="121" t="s">
        <v>159</v>
      </c>
      <c r="AW14" s="117" t="str">
        <f t="shared" ref="AW14:AW20" si="0">AH14</f>
        <v>Orsamento ida ne'e hodi selu Suplemento Cargo ba Chefe Departamento inklui Suplemento ba Cargo Director</v>
      </c>
      <c r="AX14" s="116"/>
      <c r="AY14" s="116"/>
      <c r="AZ14" s="119"/>
      <c r="BA14" s="118"/>
      <c r="BB14" s="116"/>
      <c r="BC14" s="119"/>
      <c r="BD14" s="119"/>
      <c r="BE14" s="119"/>
      <c r="BF14" s="119"/>
      <c r="BG14" s="119"/>
      <c r="BH14" s="119"/>
      <c r="BI14" s="119"/>
      <c r="BJ14" s="120">
        <f>AU14</f>
        <v>3828</v>
      </c>
      <c r="BK14" s="121" t="s">
        <v>159</v>
      </c>
      <c r="BL14" s="117" t="str">
        <f t="shared" ref="BL14:BL20" si="1">AW14</f>
        <v>Orsamento ida ne'e hodi selu Suplemento Cargo ba Chefe Departamento inklui Suplemento ba Cargo Director</v>
      </c>
      <c r="BM14" s="122">
        <f>BJ14+AU14+AF14+Q14</f>
        <v>15312</v>
      </c>
    </row>
    <row r="15" spans="1:65" s="111" customFormat="1" ht="208.5" customHeight="1" x14ac:dyDescent="0.35">
      <c r="A15" s="114">
        <f>A14+1</f>
        <v>2</v>
      </c>
      <c r="B15" s="115" t="s">
        <v>148</v>
      </c>
      <c r="C15" s="116" t="s">
        <v>149</v>
      </c>
      <c r="D15" s="117" t="s">
        <v>167</v>
      </c>
      <c r="E15" s="116"/>
      <c r="F15" s="116"/>
      <c r="G15" s="116"/>
      <c r="H15" s="119"/>
      <c r="I15" s="123"/>
      <c r="J15" s="116"/>
      <c r="K15" s="124"/>
      <c r="L15" s="119"/>
      <c r="M15" s="119"/>
      <c r="N15" s="119"/>
      <c r="O15" s="119"/>
      <c r="P15" s="119"/>
      <c r="Q15" s="120">
        <f>19224/4</f>
        <v>4806</v>
      </c>
      <c r="R15" s="121" t="s">
        <v>69</v>
      </c>
      <c r="S15" s="116" t="s">
        <v>168</v>
      </c>
      <c r="T15" s="116"/>
      <c r="U15" s="116"/>
      <c r="V15" s="116"/>
      <c r="W15" s="119"/>
      <c r="X15" s="123"/>
      <c r="Y15" s="116"/>
      <c r="Z15" s="124"/>
      <c r="AA15" s="119"/>
      <c r="AB15" s="119"/>
      <c r="AC15" s="119"/>
      <c r="AD15" s="119"/>
      <c r="AE15" s="119"/>
      <c r="AF15" s="120">
        <f>19224/4</f>
        <v>4806</v>
      </c>
      <c r="AG15" s="121" t="s">
        <v>159</v>
      </c>
      <c r="AH15" s="116" t="str">
        <f t="shared" ref="AH15:AH20" si="2">S15</f>
        <v>Orsameno ida ne'e hodi selu Salario Basico ba Funcionarios Permanente iha Diresaun SMASA</v>
      </c>
      <c r="AI15" s="116"/>
      <c r="AJ15" s="116"/>
      <c r="AK15" s="116"/>
      <c r="AL15" s="119"/>
      <c r="AM15" s="123"/>
      <c r="AN15" s="116"/>
      <c r="AO15" s="124"/>
      <c r="AP15" s="119"/>
      <c r="AQ15" s="119"/>
      <c r="AR15" s="119"/>
      <c r="AS15" s="119"/>
      <c r="AT15" s="119"/>
      <c r="AU15" s="120">
        <f>19224/4</f>
        <v>4806</v>
      </c>
      <c r="AV15" s="121" t="s">
        <v>159</v>
      </c>
      <c r="AW15" s="116" t="str">
        <f t="shared" si="0"/>
        <v>Orsameno ida ne'e hodi selu Salario Basico ba Funcionarios Permanente iha Diresaun SMASA</v>
      </c>
      <c r="AX15" s="116"/>
      <c r="AY15" s="116"/>
      <c r="AZ15" s="119"/>
      <c r="BA15" s="119"/>
      <c r="BB15" s="123"/>
      <c r="BC15" s="116"/>
      <c r="BD15" s="124"/>
      <c r="BE15" s="119"/>
      <c r="BF15" s="119"/>
      <c r="BG15" s="119"/>
      <c r="BH15" s="119"/>
      <c r="BI15" s="119"/>
      <c r="BJ15" s="120">
        <f>19224/4</f>
        <v>4806</v>
      </c>
      <c r="BK15" s="121" t="s">
        <v>159</v>
      </c>
      <c r="BL15" s="116" t="str">
        <f>AW15</f>
        <v>Orsameno ida ne'e hodi selu Salario Basico ba Funcionarios Permanente iha Diresaun SMASA</v>
      </c>
      <c r="BM15" s="122">
        <f>BJ15+AU15+AF15+Q15</f>
        <v>19224</v>
      </c>
    </row>
    <row r="16" spans="1:65" s="111" customFormat="1" ht="344.25" customHeight="1" x14ac:dyDescent="0.35">
      <c r="A16" s="114">
        <f>A15+1</f>
        <v>3</v>
      </c>
      <c r="B16" s="115" t="s">
        <v>148</v>
      </c>
      <c r="C16" s="116" t="s">
        <v>150</v>
      </c>
      <c r="D16" s="117" t="s">
        <v>167</v>
      </c>
      <c r="E16" s="116"/>
      <c r="F16" s="116"/>
      <c r="G16" s="116"/>
      <c r="H16" s="116"/>
      <c r="I16" s="116"/>
      <c r="J16" s="125"/>
      <c r="K16" s="124"/>
      <c r="L16" s="116"/>
      <c r="M16" s="116"/>
      <c r="N16" s="116"/>
      <c r="O16" s="116"/>
      <c r="P16" s="116"/>
      <c r="Q16" s="120">
        <f>(4200+975)/4</f>
        <v>1293.75</v>
      </c>
      <c r="R16" s="121" t="s">
        <v>159</v>
      </c>
      <c r="S16" s="116" t="s">
        <v>169</v>
      </c>
      <c r="T16" s="116"/>
      <c r="U16" s="116"/>
      <c r="V16" s="116"/>
      <c r="W16" s="116"/>
      <c r="X16" s="116"/>
      <c r="Y16" s="125"/>
      <c r="Z16" s="124"/>
      <c r="AA16" s="116"/>
      <c r="AB16" s="116"/>
      <c r="AC16" s="116"/>
      <c r="AD16" s="116"/>
      <c r="AE16" s="116"/>
      <c r="AF16" s="120">
        <f>Q16</f>
        <v>1293.75</v>
      </c>
      <c r="AG16" s="121" t="s">
        <v>159</v>
      </c>
      <c r="AH16" s="116" t="str">
        <f t="shared" si="2"/>
        <v>Orsamento ida ne'e hodi selu Subsidiu Transporte ba Kargo Director  no Xefe Departamento nain 3 inklui Funcionarios  Permanente nain 4  iha Diresaun SMASA</v>
      </c>
      <c r="AI16" s="116"/>
      <c r="AJ16" s="116"/>
      <c r="AK16" s="116"/>
      <c r="AL16" s="116"/>
      <c r="AM16" s="116"/>
      <c r="AN16" s="125"/>
      <c r="AO16" s="124"/>
      <c r="AP16" s="116"/>
      <c r="AQ16" s="116"/>
      <c r="AR16" s="116"/>
      <c r="AS16" s="116"/>
      <c r="AT16" s="116"/>
      <c r="AU16" s="120">
        <f>AF16</f>
        <v>1293.75</v>
      </c>
      <c r="AV16" s="121" t="s">
        <v>159</v>
      </c>
      <c r="AW16" s="116" t="str">
        <f t="shared" si="0"/>
        <v>Orsamento ida ne'e hodi selu Subsidiu Transporte ba Kargo Director  no Xefe Departamento nain 3 inklui Funcionarios  Permanente nain 4  iha Diresaun SMASA</v>
      </c>
      <c r="AX16" s="116"/>
      <c r="AY16" s="116"/>
      <c r="AZ16" s="116"/>
      <c r="BA16" s="116"/>
      <c r="BB16" s="116"/>
      <c r="BC16" s="125"/>
      <c r="BD16" s="124"/>
      <c r="BE16" s="116"/>
      <c r="BF16" s="116"/>
      <c r="BG16" s="116"/>
      <c r="BH16" s="116"/>
      <c r="BI16" s="116"/>
      <c r="BJ16" s="120">
        <f>AU16</f>
        <v>1293.75</v>
      </c>
      <c r="BK16" s="121" t="s">
        <v>159</v>
      </c>
      <c r="BL16" s="116" t="str">
        <f t="shared" si="1"/>
        <v>Orsamento ida ne'e hodi selu Subsidiu Transporte ba Kargo Director  no Xefe Departamento nain 3 inklui Funcionarios  Permanente nain 4  iha Diresaun SMASA</v>
      </c>
      <c r="BM16" s="122">
        <f>Q16+AF16+AU16+BJ16</f>
        <v>5175</v>
      </c>
    </row>
    <row r="17" spans="1:65" s="111" customFormat="1" ht="280.5" x14ac:dyDescent="0.35">
      <c r="A17" s="114">
        <f>A16+1</f>
        <v>4</v>
      </c>
      <c r="B17" s="115" t="s">
        <v>148</v>
      </c>
      <c r="C17" s="116" t="s">
        <v>151</v>
      </c>
      <c r="D17" s="117" t="s">
        <v>167</v>
      </c>
      <c r="E17" s="116"/>
      <c r="F17" s="116"/>
      <c r="G17" s="116"/>
      <c r="H17" s="116"/>
      <c r="I17" s="116"/>
      <c r="J17" s="116"/>
      <c r="K17" s="126"/>
      <c r="L17" s="126"/>
      <c r="M17" s="124"/>
      <c r="N17" s="124"/>
      <c r="O17" s="116"/>
      <c r="P17" s="116"/>
      <c r="Q17" s="120">
        <f>7980/4</f>
        <v>1995</v>
      </c>
      <c r="R17" s="121" t="s">
        <v>159</v>
      </c>
      <c r="S17" s="116" t="s">
        <v>160</v>
      </c>
      <c r="T17" s="116"/>
      <c r="U17" s="116"/>
      <c r="V17" s="116"/>
      <c r="W17" s="116"/>
      <c r="X17" s="116"/>
      <c r="Y17" s="116"/>
      <c r="Z17" s="126"/>
      <c r="AA17" s="126"/>
      <c r="AB17" s="124"/>
      <c r="AC17" s="124"/>
      <c r="AD17" s="116"/>
      <c r="AE17" s="116"/>
      <c r="AF17" s="120">
        <f>Q17</f>
        <v>1995</v>
      </c>
      <c r="AG17" s="121" t="s">
        <v>159</v>
      </c>
      <c r="AH17" s="116" t="str">
        <f t="shared" si="2"/>
        <v>Orsamento ida ne'e hodi selu Subsidiu Reprezentasaun 50% ba Cargo Director no  Xefe Departamento nain 3 iha Diresaun SMASA</v>
      </c>
      <c r="AI17" s="116"/>
      <c r="AJ17" s="116"/>
      <c r="AK17" s="116"/>
      <c r="AL17" s="116"/>
      <c r="AM17" s="116"/>
      <c r="AN17" s="116"/>
      <c r="AO17" s="126"/>
      <c r="AP17" s="126"/>
      <c r="AQ17" s="124"/>
      <c r="AR17" s="124"/>
      <c r="AS17" s="116"/>
      <c r="AT17" s="116"/>
      <c r="AU17" s="120">
        <f>AF17</f>
        <v>1995</v>
      </c>
      <c r="AV17" s="121" t="s">
        <v>159</v>
      </c>
      <c r="AW17" s="116" t="str">
        <f t="shared" si="0"/>
        <v>Orsamento ida ne'e hodi selu Subsidiu Reprezentasaun 50% ba Cargo Director no  Xefe Departamento nain 3 iha Diresaun SMASA</v>
      </c>
      <c r="AX17" s="116"/>
      <c r="AY17" s="116"/>
      <c r="AZ17" s="116"/>
      <c r="BA17" s="116"/>
      <c r="BB17" s="116"/>
      <c r="BC17" s="116"/>
      <c r="BD17" s="126"/>
      <c r="BE17" s="116"/>
      <c r="BF17" s="124"/>
      <c r="BG17" s="124"/>
      <c r="BH17" s="116"/>
      <c r="BI17" s="116"/>
      <c r="BJ17" s="120">
        <f>AU17</f>
        <v>1995</v>
      </c>
      <c r="BK17" s="121" t="s">
        <v>159</v>
      </c>
      <c r="BL17" s="116" t="str">
        <f>AW17</f>
        <v>Orsamento ida ne'e hodi selu Subsidiu Reprezentasaun 50% ba Cargo Director no  Xefe Departamento nain 3 iha Diresaun SMASA</v>
      </c>
      <c r="BM17" s="122">
        <f>Q17+AF17+AU17+BJ17</f>
        <v>7980</v>
      </c>
    </row>
    <row r="18" spans="1:65" s="111" customFormat="1" ht="230.25" customHeight="1" x14ac:dyDescent="0.35">
      <c r="A18" s="114">
        <f t="shared" ref="A18:A19" si="3">A17+1</f>
        <v>5</v>
      </c>
      <c r="B18" s="115" t="s">
        <v>148</v>
      </c>
      <c r="C18" s="116" t="s">
        <v>152</v>
      </c>
      <c r="D18" s="117" t="s">
        <v>167</v>
      </c>
      <c r="E18" s="116"/>
      <c r="F18" s="116"/>
      <c r="G18" s="116"/>
      <c r="H18" s="116"/>
      <c r="I18" s="116"/>
      <c r="J18" s="116"/>
      <c r="K18" s="116"/>
      <c r="L18" s="124"/>
      <c r="M18" s="127"/>
      <c r="N18" s="127"/>
      <c r="O18" s="128"/>
      <c r="P18" s="124"/>
      <c r="Q18" s="120">
        <f>(4116+33096)/4</f>
        <v>9303</v>
      </c>
      <c r="R18" s="121" t="s">
        <v>159</v>
      </c>
      <c r="S18" s="116" t="s">
        <v>170</v>
      </c>
      <c r="T18" s="116"/>
      <c r="U18" s="116"/>
      <c r="V18" s="116"/>
      <c r="W18" s="116"/>
      <c r="X18" s="116"/>
      <c r="Y18" s="116"/>
      <c r="Z18" s="116"/>
      <c r="AA18" s="124"/>
      <c r="AB18" s="127"/>
      <c r="AC18" s="127"/>
      <c r="AD18" s="128"/>
      <c r="AE18" s="124"/>
      <c r="AF18" s="120">
        <f>Q18</f>
        <v>9303</v>
      </c>
      <c r="AG18" s="121" t="s">
        <v>159</v>
      </c>
      <c r="AH18" s="116" t="str">
        <f t="shared" si="2"/>
        <v>Orsamento ida ne'e Preve hodi Selu Salario Kazuais nain 1, no Pessoal Saneamento nain12 inklui Motorista 1 iha Diresaun SM-ASA</v>
      </c>
      <c r="AI18" s="116"/>
      <c r="AJ18" s="116"/>
      <c r="AK18" s="116"/>
      <c r="AL18" s="116"/>
      <c r="AM18" s="116"/>
      <c r="AN18" s="116"/>
      <c r="AO18" s="116"/>
      <c r="AP18" s="124"/>
      <c r="AQ18" s="127"/>
      <c r="AR18" s="127"/>
      <c r="AS18" s="128"/>
      <c r="AT18" s="124"/>
      <c r="AU18" s="120">
        <f>AF18</f>
        <v>9303</v>
      </c>
      <c r="AV18" s="121" t="s">
        <v>159</v>
      </c>
      <c r="AW18" s="116" t="str">
        <f t="shared" si="0"/>
        <v>Orsamento ida ne'e Preve hodi Selu Salario Kazuais nain 1, no Pessoal Saneamento nain12 inklui Motorista 1 iha Diresaun SM-ASA</v>
      </c>
      <c r="AX18" s="116"/>
      <c r="AY18" s="116"/>
      <c r="AZ18" s="116"/>
      <c r="BA18" s="116"/>
      <c r="BB18" s="116"/>
      <c r="BC18" s="116"/>
      <c r="BD18" s="116"/>
      <c r="BE18" s="127"/>
      <c r="BF18" s="127"/>
      <c r="BG18" s="124"/>
      <c r="BH18" s="128"/>
      <c r="BI18" s="124"/>
      <c r="BJ18" s="120">
        <f>AU18</f>
        <v>9303</v>
      </c>
      <c r="BK18" s="121" t="s">
        <v>159</v>
      </c>
      <c r="BL18" s="116" t="str">
        <f t="shared" si="1"/>
        <v>Orsamento ida ne'e Preve hodi Selu Salario Kazuais nain 1, no Pessoal Saneamento nain12 inklui Motorista 1 iha Diresaun SM-ASA</v>
      </c>
      <c r="BM18" s="122">
        <f>Q18+AF18+AU18+BJ18</f>
        <v>37212</v>
      </c>
    </row>
    <row r="19" spans="1:65" s="111" customFormat="1" ht="215.25" customHeight="1" x14ac:dyDescent="0.35">
      <c r="A19" s="114">
        <f t="shared" si="3"/>
        <v>6</v>
      </c>
      <c r="B19" s="115" t="s">
        <v>148</v>
      </c>
      <c r="C19" s="116" t="s">
        <v>153</v>
      </c>
      <c r="D19" s="117" t="s">
        <v>167</v>
      </c>
      <c r="E19" s="116"/>
      <c r="F19" s="116"/>
      <c r="G19" s="116"/>
      <c r="H19" s="116"/>
      <c r="I19" s="116"/>
      <c r="J19" s="116"/>
      <c r="K19" s="116"/>
      <c r="L19" s="128"/>
      <c r="M19" s="128"/>
      <c r="N19" s="128"/>
      <c r="O19" s="129"/>
      <c r="P19" s="129"/>
      <c r="Q19" s="120">
        <f>8640/4</f>
        <v>2160</v>
      </c>
      <c r="R19" s="121" t="s">
        <v>159</v>
      </c>
      <c r="S19" s="116" t="s">
        <v>161</v>
      </c>
      <c r="T19" s="116"/>
      <c r="U19" s="116"/>
      <c r="V19" s="116"/>
      <c r="W19" s="116"/>
      <c r="X19" s="116"/>
      <c r="Y19" s="116"/>
      <c r="Z19" s="116"/>
      <c r="AA19" s="128"/>
      <c r="AB19" s="128"/>
      <c r="AC19" s="128"/>
      <c r="AD19" s="129"/>
      <c r="AE19" s="129"/>
      <c r="AF19" s="120">
        <f>Q19</f>
        <v>2160</v>
      </c>
      <c r="AG19" s="121" t="s">
        <v>159</v>
      </c>
      <c r="AH19" s="116" t="str">
        <f t="shared" si="2"/>
        <v>Orsamento ida ne'e Preve hodi Selu Salario ba Funcionario Permanentes sira iha Diresaun SMASA</v>
      </c>
      <c r="AI19" s="116"/>
      <c r="AJ19" s="116"/>
      <c r="AK19" s="116"/>
      <c r="AL19" s="116"/>
      <c r="AM19" s="116"/>
      <c r="AN19" s="116"/>
      <c r="AO19" s="116"/>
      <c r="AP19" s="128"/>
      <c r="AQ19" s="128"/>
      <c r="AR19" s="128"/>
      <c r="AS19" s="129"/>
      <c r="AT19" s="129"/>
      <c r="AU19" s="120">
        <f>AF19</f>
        <v>2160</v>
      </c>
      <c r="AV19" s="121" t="s">
        <v>159</v>
      </c>
      <c r="AW19" s="116" t="str">
        <f t="shared" si="0"/>
        <v>Orsamento ida ne'e Preve hodi Selu Salario ba Funcionario Permanentes sira iha Diresaun SMASA</v>
      </c>
      <c r="AX19" s="116"/>
      <c r="AY19" s="116"/>
      <c r="AZ19" s="116"/>
      <c r="BA19" s="116"/>
      <c r="BB19" s="116"/>
      <c r="BC19" s="116"/>
      <c r="BD19" s="116"/>
      <c r="BE19" s="128"/>
      <c r="BF19" s="128"/>
      <c r="BG19" s="129"/>
      <c r="BH19" s="124"/>
      <c r="BI19" s="116"/>
      <c r="BJ19" s="120">
        <f>AU19</f>
        <v>2160</v>
      </c>
      <c r="BK19" s="121" t="s">
        <v>159</v>
      </c>
      <c r="BL19" s="116" t="str">
        <f t="shared" si="1"/>
        <v>Orsamento ida ne'e Preve hodi Selu Salario ba Funcionario Permanentes sira iha Diresaun SMASA</v>
      </c>
      <c r="BM19" s="122">
        <f>Q19+AF19+AU19+BJ19</f>
        <v>8640</v>
      </c>
    </row>
    <row r="20" spans="1:65" s="111" customFormat="1" ht="280.5" customHeight="1" x14ac:dyDescent="0.35">
      <c r="A20" s="114">
        <f>A19+1</f>
        <v>7</v>
      </c>
      <c r="B20" s="115" t="s">
        <v>148</v>
      </c>
      <c r="C20" s="116" t="s">
        <v>158</v>
      </c>
      <c r="D20" s="117" t="s">
        <v>167</v>
      </c>
      <c r="E20" s="116"/>
      <c r="F20" s="116"/>
      <c r="G20" s="116"/>
      <c r="H20" s="116"/>
      <c r="I20" s="116"/>
      <c r="J20" s="116"/>
      <c r="K20" s="124"/>
      <c r="L20" s="130"/>
      <c r="M20" s="130"/>
      <c r="N20" s="130"/>
      <c r="O20" s="116"/>
      <c r="P20" s="116"/>
      <c r="Q20" s="120"/>
      <c r="R20" s="121" t="s">
        <v>159</v>
      </c>
      <c r="S20" s="116" t="s">
        <v>162</v>
      </c>
      <c r="T20" s="116"/>
      <c r="U20" s="116"/>
      <c r="V20" s="116"/>
      <c r="W20" s="116"/>
      <c r="X20" s="130"/>
      <c r="Y20" s="128"/>
      <c r="Z20" s="128"/>
      <c r="AA20" s="116"/>
      <c r="AB20" s="116"/>
      <c r="AC20" s="116"/>
      <c r="AD20" s="116"/>
      <c r="AE20" s="116"/>
      <c r="AF20" s="120"/>
      <c r="AG20" s="121" t="s">
        <v>159</v>
      </c>
      <c r="AH20" s="116" t="str">
        <f t="shared" si="2"/>
        <v>Orsamento ida ne'e hodi selu Salario Decimo Terceiro Mês ba Funcionarios Permanente inklui Kazuais iha Diresaun SMASA</v>
      </c>
      <c r="AI20" s="116"/>
      <c r="AJ20" s="116"/>
      <c r="AK20" s="116"/>
      <c r="AL20" s="116"/>
      <c r="AM20" s="116" t="s">
        <v>93</v>
      </c>
      <c r="AN20" s="119"/>
      <c r="AO20" s="124"/>
      <c r="AP20" s="130"/>
      <c r="AQ20" s="130"/>
      <c r="AR20" s="130"/>
      <c r="AS20" s="116"/>
      <c r="AT20" s="116"/>
      <c r="AU20" s="120"/>
      <c r="AV20" s="121" t="s">
        <v>159</v>
      </c>
      <c r="AW20" s="116" t="str">
        <f t="shared" si="0"/>
        <v>Orsamento ida ne'e hodi selu Salario Decimo Terceiro Mês ba Funcionarios Permanente inklui Kazuais iha Diresaun SMASA</v>
      </c>
      <c r="AX20" s="116"/>
      <c r="AY20" s="116"/>
      <c r="AZ20" s="116"/>
      <c r="BA20" s="114"/>
      <c r="BB20" s="119"/>
      <c r="BC20" s="116"/>
      <c r="BD20" s="116"/>
      <c r="BE20" s="116"/>
      <c r="BF20" s="116"/>
      <c r="BG20" s="116"/>
      <c r="BH20" s="131"/>
      <c r="BI20" s="131"/>
      <c r="BJ20" s="120">
        <f>4237+3478</f>
        <v>7715</v>
      </c>
      <c r="BK20" s="121" t="s">
        <v>159</v>
      </c>
      <c r="BL20" s="116" t="str">
        <f t="shared" si="1"/>
        <v>Orsamento ida ne'e hodi selu Salario Decimo Terceiro Mês ba Funcionarios Permanente inklui Kazuais iha Diresaun SMASA</v>
      </c>
      <c r="BM20" s="122">
        <f>Q20+AF20+AU20+BJ20</f>
        <v>7715</v>
      </c>
    </row>
    <row r="21" spans="1:65" s="111" customFormat="1" ht="70.5" customHeight="1" x14ac:dyDescent="0.3">
      <c r="A21" s="114"/>
      <c r="B21" s="323" t="s">
        <v>114</v>
      </c>
      <c r="C21" s="324"/>
      <c r="D21" s="132"/>
      <c r="E21" s="132"/>
      <c r="F21" s="132"/>
      <c r="G21" s="132"/>
      <c r="H21" s="132"/>
      <c r="I21" s="132"/>
      <c r="J21" s="132"/>
      <c r="K21" s="132"/>
      <c r="L21" s="132"/>
      <c r="M21" s="132"/>
      <c r="N21" s="132"/>
      <c r="O21" s="132"/>
      <c r="P21" s="132"/>
      <c r="Q21" s="133">
        <f>SUM(Q14:Q18)</f>
        <v>21225.75</v>
      </c>
      <c r="R21" s="134"/>
      <c r="S21" s="135"/>
      <c r="T21" s="132"/>
      <c r="U21" s="132"/>
      <c r="V21" s="132"/>
      <c r="W21" s="132"/>
      <c r="X21" s="132"/>
      <c r="Y21" s="132"/>
      <c r="Z21" s="132"/>
      <c r="AA21" s="132"/>
      <c r="AB21" s="132"/>
      <c r="AC21" s="132"/>
      <c r="AD21" s="132"/>
      <c r="AE21" s="132"/>
      <c r="AF21" s="136">
        <f>SUM(AF14:AF19)</f>
        <v>23385.75</v>
      </c>
      <c r="AG21" s="132"/>
      <c r="AH21" s="132"/>
      <c r="AI21" s="132"/>
      <c r="AJ21" s="132"/>
      <c r="AK21" s="132"/>
      <c r="AL21" s="132"/>
      <c r="AM21" s="132"/>
      <c r="AN21" s="132"/>
      <c r="AO21" s="132"/>
      <c r="AP21" s="132"/>
      <c r="AQ21" s="132"/>
      <c r="AR21" s="132"/>
      <c r="AS21" s="132"/>
      <c r="AT21" s="132"/>
      <c r="AU21" s="136">
        <f>SUM(AU14:AU19)</f>
        <v>23385.75</v>
      </c>
      <c r="AV21" s="132"/>
      <c r="AW21" s="132"/>
      <c r="AX21" s="132"/>
      <c r="AY21" s="132"/>
      <c r="AZ21" s="132"/>
      <c r="BA21" s="132"/>
      <c r="BB21" s="132"/>
      <c r="BC21" s="132"/>
      <c r="BD21" s="132"/>
      <c r="BE21" s="132"/>
      <c r="BF21" s="132"/>
      <c r="BG21" s="132"/>
      <c r="BH21" s="132"/>
      <c r="BI21" s="132"/>
      <c r="BJ21" s="136">
        <f>SUM(BJ14:BJ18)</f>
        <v>21225.75</v>
      </c>
      <c r="BK21" s="132"/>
      <c r="BL21" s="132"/>
      <c r="BM21" s="137"/>
    </row>
    <row r="22" spans="1:65" ht="61.5" customHeight="1" x14ac:dyDescent="0.25">
      <c r="A22" s="138"/>
      <c r="B22" s="325" t="s">
        <v>34</v>
      </c>
      <c r="C22" s="326"/>
      <c r="D22" s="326"/>
      <c r="E22" s="326"/>
      <c r="F22" s="326"/>
      <c r="G22" s="326"/>
      <c r="H22" s="326"/>
      <c r="I22" s="326"/>
      <c r="J22" s="326"/>
      <c r="K22" s="326"/>
      <c r="L22" s="326"/>
      <c r="M22" s="326"/>
      <c r="N22" s="326"/>
      <c r="O22" s="326"/>
      <c r="P22" s="326"/>
      <c r="Q22" s="326"/>
      <c r="R22" s="326"/>
      <c r="S22" s="326"/>
      <c r="T22" s="139"/>
      <c r="U22" s="139"/>
      <c r="V22" s="139"/>
      <c r="W22" s="139"/>
      <c r="X22" s="139"/>
      <c r="Y22" s="139"/>
      <c r="Z22" s="139"/>
      <c r="AA22" s="139"/>
      <c r="AB22" s="139"/>
      <c r="AC22" s="139"/>
      <c r="AD22" s="139"/>
      <c r="AE22" s="139"/>
      <c r="AF22" s="139"/>
      <c r="AG22" s="139"/>
      <c r="AH22" s="139"/>
      <c r="AI22" s="139"/>
      <c r="AJ22" s="139"/>
      <c r="AK22" s="139"/>
      <c r="AL22" s="139"/>
      <c r="AM22" s="139"/>
      <c r="AN22" s="139"/>
      <c r="AO22" s="139"/>
      <c r="AP22" s="139"/>
      <c r="AQ22" s="139"/>
      <c r="AR22" s="139"/>
      <c r="AS22" s="139"/>
      <c r="AT22" s="139"/>
      <c r="AU22" s="139"/>
      <c r="AV22" s="139"/>
      <c r="AW22" s="139"/>
      <c r="AX22" s="139"/>
      <c r="AY22" s="139"/>
      <c r="AZ22" s="139"/>
      <c r="BA22" s="139"/>
      <c r="BB22" s="139"/>
      <c r="BC22" s="139"/>
      <c r="BD22" s="139"/>
      <c r="BE22" s="139"/>
      <c r="BF22" s="139"/>
      <c r="BG22" s="139"/>
      <c r="BH22" s="139"/>
      <c r="BI22" s="139"/>
      <c r="BJ22" s="139"/>
      <c r="BK22" s="139"/>
      <c r="BL22" s="139"/>
      <c r="BM22" s="140">
        <f>SUM(BM14:BM21)</f>
        <v>101258</v>
      </c>
    </row>
    <row r="23" spans="1:65" ht="16.5" customHeight="1" x14ac:dyDescent="0.4">
      <c r="A23" s="141"/>
      <c r="B23" s="327"/>
      <c r="C23" s="327"/>
      <c r="D23" s="327"/>
      <c r="E23" s="327"/>
      <c r="F23" s="327"/>
      <c r="G23" s="327"/>
      <c r="H23" s="327"/>
      <c r="I23" s="327"/>
      <c r="J23" s="327"/>
      <c r="K23" s="327"/>
      <c r="L23" s="327"/>
      <c r="M23" s="327"/>
      <c r="N23" s="327"/>
      <c r="O23" s="327"/>
      <c r="P23" s="327"/>
      <c r="Q23" s="327"/>
      <c r="R23" s="327"/>
      <c r="S23" s="327"/>
      <c r="T23" s="142"/>
      <c r="U23" s="142"/>
      <c r="V23" s="142"/>
      <c r="W23" s="142"/>
      <c r="X23" s="142"/>
      <c r="Y23" s="142"/>
      <c r="Z23" s="142"/>
      <c r="AA23" s="142"/>
      <c r="AB23" s="142"/>
      <c r="AC23" s="142"/>
      <c r="AD23" s="142"/>
      <c r="AE23" s="142"/>
      <c r="AF23" s="142"/>
      <c r="AG23" s="142"/>
      <c r="AH23" s="142"/>
      <c r="AI23" s="143"/>
      <c r="AJ23" s="141"/>
      <c r="AK23" s="141"/>
      <c r="AL23" s="141"/>
      <c r="AM23" s="141"/>
      <c r="AN23" s="141"/>
      <c r="AO23" s="141"/>
      <c r="AP23" s="141"/>
      <c r="AQ23" s="141"/>
      <c r="AR23" s="141"/>
      <c r="AS23" s="141"/>
      <c r="AT23" s="141"/>
      <c r="AU23" s="141"/>
      <c r="AV23" s="141"/>
      <c r="AW23" s="141"/>
      <c r="AX23" s="141"/>
      <c r="AY23" s="141"/>
      <c r="AZ23" s="141"/>
      <c r="BA23" s="141"/>
      <c r="BB23" s="141"/>
      <c r="BC23" s="141"/>
      <c r="BD23" s="141"/>
      <c r="BE23" s="141"/>
      <c r="BF23" s="141"/>
      <c r="BG23" s="141"/>
      <c r="BH23" s="141"/>
      <c r="BI23" s="141"/>
      <c r="BJ23" s="141"/>
      <c r="BK23" s="141"/>
      <c r="BL23" s="141"/>
      <c r="BM23" s="144"/>
    </row>
    <row r="24" spans="1:65" ht="26.25" x14ac:dyDescent="0.4">
      <c r="A24" s="141"/>
      <c r="B24" s="141"/>
      <c r="C24" s="141"/>
      <c r="D24" s="141"/>
      <c r="E24" s="141"/>
      <c r="F24" s="141"/>
      <c r="G24" s="141"/>
      <c r="H24" s="141"/>
      <c r="I24" s="141"/>
      <c r="J24" s="141"/>
      <c r="K24" s="141"/>
      <c r="L24" s="141"/>
      <c r="M24" s="141"/>
      <c r="N24" s="141"/>
      <c r="O24" s="141"/>
      <c r="P24" s="141"/>
      <c r="Q24" s="145"/>
      <c r="R24" s="145"/>
      <c r="S24" s="141"/>
      <c r="T24" s="141"/>
      <c r="U24" s="141"/>
      <c r="V24" s="141"/>
      <c r="W24" s="141"/>
      <c r="X24" s="141"/>
      <c r="Y24" s="141"/>
      <c r="Z24" s="141"/>
      <c r="AA24" s="141"/>
      <c r="AB24" s="141"/>
      <c r="AC24" s="141"/>
      <c r="AD24" s="141"/>
      <c r="AE24" s="141"/>
      <c r="AF24" s="141"/>
      <c r="AG24" s="141"/>
      <c r="AH24" s="141"/>
      <c r="AI24" s="141"/>
      <c r="AJ24" s="141"/>
      <c r="AK24" s="141"/>
      <c r="AL24" s="141"/>
      <c r="AM24" s="141"/>
      <c r="AN24" s="141"/>
      <c r="AO24" s="141"/>
      <c r="AP24" s="141"/>
      <c r="AQ24" s="141"/>
      <c r="AR24" s="141"/>
      <c r="AS24" s="141"/>
      <c r="AT24" s="141"/>
      <c r="AU24" s="141"/>
      <c r="AV24" s="141"/>
      <c r="AW24" s="141"/>
      <c r="AX24" s="141"/>
      <c r="AY24" s="141"/>
      <c r="AZ24" s="141"/>
      <c r="BA24" s="141"/>
      <c r="BB24" s="141"/>
      <c r="BC24" s="141"/>
      <c r="BD24" s="141"/>
      <c r="BE24" s="141"/>
      <c r="BF24" s="141"/>
      <c r="BG24" s="141"/>
      <c r="BH24" s="141"/>
      <c r="BI24" s="141"/>
      <c r="BJ24" s="141"/>
      <c r="BK24" s="141"/>
      <c r="BL24" s="141"/>
      <c r="BM24" s="141"/>
    </row>
    <row r="25" spans="1:65" ht="15.75" customHeight="1" x14ac:dyDescent="0.4">
      <c r="A25" s="141"/>
      <c r="B25" s="141"/>
      <c r="C25" s="141"/>
      <c r="D25" s="141"/>
      <c r="E25" s="141"/>
      <c r="F25" s="141"/>
      <c r="G25" s="141"/>
      <c r="H25" s="141"/>
      <c r="I25" s="141"/>
      <c r="J25" s="141"/>
      <c r="K25" s="141"/>
      <c r="L25" s="141"/>
      <c r="M25" s="141"/>
      <c r="N25" s="141"/>
      <c r="O25" s="141"/>
      <c r="P25" s="141"/>
      <c r="Q25" s="145"/>
      <c r="R25" s="145"/>
      <c r="S25" s="141"/>
      <c r="T25" s="141"/>
      <c r="U25" s="141"/>
      <c r="V25" s="141"/>
      <c r="W25" s="141"/>
      <c r="X25" s="141"/>
      <c r="Y25" s="141"/>
      <c r="Z25" s="141"/>
      <c r="AA25" s="141"/>
      <c r="AB25" s="141"/>
      <c r="AC25" s="141"/>
      <c r="AD25" s="141"/>
      <c r="AE25" s="141"/>
      <c r="AF25" s="141"/>
      <c r="AG25" s="141"/>
      <c r="AH25" s="141"/>
      <c r="AI25" s="141"/>
      <c r="AJ25" s="141"/>
      <c r="AK25" s="141"/>
      <c r="AL25" s="141"/>
      <c r="AM25" s="141"/>
      <c r="AN25" s="141"/>
      <c r="AO25" s="141"/>
      <c r="AP25" s="141"/>
      <c r="AQ25" s="141"/>
      <c r="AR25" s="141"/>
      <c r="AS25" s="141"/>
      <c r="AT25" s="141"/>
      <c r="AU25" s="141"/>
      <c r="AV25" s="141"/>
      <c r="AW25" s="141"/>
      <c r="AX25" s="141"/>
      <c r="AY25" s="141"/>
      <c r="AZ25" s="141"/>
      <c r="BA25" s="141"/>
      <c r="BB25" s="141"/>
      <c r="BC25" s="141"/>
      <c r="BD25" s="141"/>
      <c r="BE25" s="141"/>
      <c r="BF25" s="141"/>
      <c r="BG25" s="141"/>
      <c r="BH25" s="141"/>
      <c r="BI25" s="141"/>
      <c r="BJ25" s="141"/>
      <c r="BK25" s="141"/>
      <c r="BL25" s="141"/>
      <c r="BM25" s="146"/>
    </row>
    <row r="26" spans="1:65" ht="26.25" x14ac:dyDescent="0.4">
      <c r="A26" s="141"/>
      <c r="B26" s="141"/>
      <c r="C26" s="141"/>
      <c r="D26" s="141"/>
      <c r="E26" s="141"/>
      <c r="F26" s="141"/>
      <c r="G26" s="141"/>
      <c r="H26" s="141"/>
      <c r="I26" s="141"/>
      <c r="J26" s="141"/>
      <c r="K26" s="147"/>
      <c r="L26" s="141"/>
      <c r="M26" s="141"/>
      <c r="N26" s="141"/>
      <c r="O26" s="141"/>
      <c r="P26" s="141"/>
      <c r="Q26" s="141"/>
      <c r="R26" s="145"/>
      <c r="S26" s="141"/>
      <c r="T26" s="141"/>
      <c r="U26" s="141"/>
      <c r="V26" s="141"/>
      <c r="W26" s="141"/>
      <c r="X26" s="141"/>
      <c r="Y26" s="141"/>
      <c r="Z26" s="141"/>
      <c r="AA26" s="141"/>
      <c r="AB26" s="141"/>
      <c r="AC26" s="141"/>
      <c r="AD26" s="141"/>
      <c r="AE26" s="141"/>
      <c r="AF26" s="147"/>
      <c r="AG26" s="141"/>
      <c r="AH26" s="141"/>
      <c r="AI26" s="141"/>
      <c r="AJ26" s="141"/>
      <c r="AK26" s="141"/>
      <c r="AL26" s="141"/>
      <c r="AM26" s="141"/>
      <c r="AN26" s="141"/>
      <c r="AO26" s="141"/>
      <c r="AP26" s="141"/>
      <c r="AQ26" s="141"/>
      <c r="AR26" s="141"/>
      <c r="AS26" s="141"/>
      <c r="AT26" s="141"/>
      <c r="AU26" s="141"/>
      <c r="AV26" s="141"/>
      <c r="AW26" s="141"/>
      <c r="AX26" s="141"/>
      <c r="AY26" s="147"/>
      <c r="AZ26" s="141"/>
      <c r="BA26" s="141"/>
      <c r="BB26" s="141"/>
      <c r="BC26" s="141"/>
      <c r="BD26" s="141"/>
      <c r="BE26" s="141"/>
      <c r="BF26" s="141"/>
      <c r="BG26" s="141"/>
      <c r="BH26" s="141"/>
      <c r="BI26" s="141"/>
      <c r="BJ26" s="141"/>
      <c r="BK26" s="141"/>
      <c r="BL26" s="141"/>
      <c r="BM26" s="141"/>
    </row>
    <row r="27" spans="1:65" ht="27" customHeight="1" x14ac:dyDescent="0.4">
      <c r="A27" s="141"/>
      <c r="B27" s="141"/>
      <c r="C27" s="141"/>
      <c r="D27" s="141"/>
      <c r="E27" s="141"/>
      <c r="F27" s="141"/>
      <c r="G27" s="141"/>
      <c r="H27" s="141"/>
      <c r="I27" s="141"/>
      <c r="J27" s="141"/>
      <c r="K27" s="142"/>
      <c r="L27" s="141"/>
      <c r="M27" s="141"/>
      <c r="N27" s="141"/>
      <c r="O27" s="141"/>
      <c r="P27" s="141"/>
      <c r="Q27" s="141"/>
      <c r="R27" s="145"/>
      <c r="S27" s="141"/>
      <c r="T27" s="141"/>
      <c r="U27" s="141"/>
      <c r="V27" s="141"/>
      <c r="W27" s="141"/>
      <c r="X27" s="141"/>
      <c r="Y27" s="141"/>
      <c r="Z27" s="141"/>
      <c r="AA27" s="141"/>
      <c r="AB27" s="141"/>
      <c r="AC27" s="141"/>
      <c r="AD27" s="141"/>
      <c r="AE27" s="141"/>
      <c r="AF27" s="142"/>
      <c r="AG27" s="141"/>
      <c r="AH27" s="141"/>
      <c r="AI27" s="141"/>
      <c r="AJ27" s="141"/>
      <c r="AK27" s="141"/>
      <c r="AL27" s="141"/>
      <c r="AM27" s="141"/>
      <c r="AN27" s="141"/>
      <c r="AO27" s="141"/>
      <c r="AP27" s="141"/>
      <c r="AQ27" s="141"/>
      <c r="AR27" s="141"/>
      <c r="AS27" s="141"/>
      <c r="AT27" s="141"/>
      <c r="AU27" s="141"/>
      <c r="AV27" s="141"/>
      <c r="AW27" s="141"/>
      <c r="AX27" s="141"/>
      <c r="AY27" s="142"/>
      <c r="AZ27" s="141"/>
      <c r="BA27" s="141"/>
      <c r="BB27" s="141"/>
      <c r="BC27" s="141"/>
      <c r="BD27" s="141"/>
      <c r="BE27" s="141"/>
      <c r="BF27" s="141"/>
      <c r="BG27" s="141"/>
      <c r="BH27" s="141"/>
      <c r="BI27" s="141"/>
      <c r="BJ27" s="141"/>
      <c r="BK27" s="141"/>
      <c r="BL27" s="141"/>
      <c r="BM27" s="141"/>
    </row>
    <row r="28" spans="1:65" ht="48" customHeight="1" x14ac:dyDescent="0.4">
      <c r="A28" s="141"/>
      <c r="B28" s="141"/>
      <c r="C28" s="141"/>
      <c r="D28" s="141"/>
      <c r="E28" s="141"/>
      <c r="F28" s="141"/>
      <c r="G28" s="141"/>
      <c r="H28" s="141"/>
      <c r="I28" s="141"/>
      <c r="J28" s="141"/>
      <c r="K28" s="141"/>
      <c r="L28" s="141"/>
      <c r="M28" s="141"/>
      <c r="N28" s="141"/>
      <c r="O28" s="141"/>
      <c r="P28" s="141"/>
      <c r="Q28" s="141"/>
      <c r="R28" s="145"/>
      <c r="S28" s="141"/>
      <c r="T28" s="141"/>
      <c r="U28" s="141"/>
      <c r="V28" s="141"/>
      <c r="W28" s="141"/>
      <c r="X28" s="141"/>
      <c r="Y28" s="141"/>
      <c r="Z28" s="141"/>
      <c r="AA28" s="141"/>
      <c r="AB28" s="141"/>
      <c r="AC28" s="141"/>
      <c r="AD28" s="141"/>
      <c r="AE28" s="141"/>
      <c r="AF28" s="141"/>
      <c r="AG28" s="141"/>
      <c r="AH28" s="141"/>
      <c r="AI28" s="141"/>
      <c r="AJ28" s="141"/>
      <c r="AK28" s="141"/>
      <c r="AL28" s="141"/>
      <c r="AM28" s="141"/>
      <c r="AN28" s="141"/>
      <c r="AO28" s="141"/>
      <c r="AP28" s="141"/>
      <c r="AQ28" s="141"/>
      <c r="AR28" s="141"/>
      <c r="AS28" s="141"/>
      <c r="AT28" s="141"/>
      <c r="AU28" s="141"/>
      <c r="AV28" s="141"/>
      <c r="AW28" s="141"/>
      <c r="AX28" s="141"/>
      <c r="AY28" s="141"/>
      <c r="AZ28" s="141"/>
      <c r="BA28" s="141"/>
      <c r="BB28" s="141"/>
      <c r="BC28" s="141"/>
      <c r="BD28" s="141"/>
      <c r="BE28" s="141"/>
      <c r="BF28" s="141"/>
      <c r="BG28" s="141"/>
      <c r="BH28" s="141"/>
      <c r="BI28" s="141"/>
      <c r="BJ28" s="141"/>
      <c r="BK28" s="141"/>
      <c r="BL28" s="141"/>
      <c r="BM28" s="141"/>
    </row>
    <row r="29" spans="1:65" ht="40.5" customHeight="1" x14ac:dyDescent="0.4">
      <c r="A29" s="141"/>
      <c r="B29" s="141"/>
      <c r="C29" s="141"/>
      <c r="D29" s="141"/>
      <c r="E29" s="141"/>
      <c r="F29" s="141"/>
      <c r="G29" s="141"/>
      <c r="H29" s="141"/>
      <c r="I29" s="141"/>
      <c r="J29" s="141"/>
      <c r="K29" s="141"/>
      <c r="L29" s="141"/>
      <c r="M29" s="141"/>
      <c r="N29" s="141"/>
      <c r="O29" s="141"/>
      <c r="P29" s="141"/>
      <c r="Q29" s="141"/>
      <c r="R29" s="145"/>
      <c r="S29" s="141"/>
      <c r="T29" s="141"/>
      <c r="U29" s="141"/>
      <c r="V29" s="141"/>
      <c r="W29" s="141"/>
      <c r="X29" s="141"/>
      <c r="Y29" s="141"/>
      <c r="Z29" s="141"/>
      <c r="AA29" s="141"/>
      <c r="AB29" s="141"/>
      <c r="AC29" s="141"/>
      <c r="AD29" s="141"/>
      <c r="AE29" s="141"/>
      <c r="AF29" s="141"/>
      <c r="AG29" s="141"/>
      <c r="AH29" s="141"/>
      <c r="AI29" s="141"/>
      <c r="AJ29" s="141"/>
      <c r="AK29" s="141"/>
      <c r="AL29" s="141"/>
      <c r="AM29" s="141"/>
      <c r="AN29" s="141"/>
      <c r="AO29" s="141"/>
      <c r="AP29" s="141"/>
      <c r="AQ29" s="141"/>
      <c r="AR29" s="141"/>
      <c r="AS29" s="141"/>
      <c r="AT29" s="141"/>
      <c r="AU29" s="141"/>
      <c r="AV29" s="141"/>
      <c r="AW29" s="141"/>
      <c r="AX29" s="141"/>
      <c r="AY29" s="141"/>
      <c r="AZ29" s="141"/>
      <c r="BA29" s="141"/>
      <c r="BB29" s="141"/>
      <c r="BC29" s="141"/>
      <c r="BD29" s="141"/>
      <c r="BE29" s="141"/>
      <c r="BF29" s="141"/>
      <c r="BG29" s="141"/>
      <c r="BH29" s="141"/>
      <c r="BI29" s="141"/>
      <c r="BJ29" s="141"/>
      <c r="BK29" s="141"/>
      <c r="BL29" s="141"/>
      <c r="BM29" s="141"/>
    </row>
    <row r="30" spans="1:65" ht="26.25" x14ac:dyDescent="0.4">
      <c r="A30" s="141"/>
      <c r="B30" s="141"/>
      <c r="C30" s="141"/>
      <c r="D30" s="141"/>
      <c r="E30" s="141"/>
      <c r="F30" s="141"/>
      <c r="G30" s="141"/>
      <c r="H30" s="141"/>
      <c r="I30" s="141"/>
      <c r="J30" s="141"/>
      <c r="K30" s="148"/>
      <c r="L30" s="141"/>
      <c r="M30" s="141"/>
      <c r="N30" s="141"/>
      <c r="O30" s="141"/>
      <c r="P30" s="141"/>
      <c r="Q30" s="141"/>
      <c r="R30" s="145"/>
      <c r="S30" s="141"/>
      <c r="T30" s="141"/>
      <c r="U30" s="141"/>
      <c r="V30" s="141"/>
      <c r="W30" s="141"/>
      <c r="X30" s="141"/>
      <c r="Y30" s="141"/>
      <c r="Z30" s="141"/>
      <c r="AA30" s="141"/>
      <c r="AB30" s="141"/>
      <c r="AC30" s="141"/>
      <c r="AD30" s="141"/>
      <c r="AE30" s="141"/>
      <c r="AF30" s="148"/>
      <c r="AG30" s="141"/>
      <c r="AH30" s="141"/>
      <c r="AI30" s="141"/>
      <c r="AJ30" s="141"/>
      <c r="AK30" s="141"/>
      <c r="AL30" s="141"/>
      <c r="AM30" s="141"/>
      <c r="AN30" s="141"/>
      <c r="AO30" s="141"/>
      <c r="AP30" s="141"/>
      <c r="AQ30" s="141"/>
      <c r="AR30" s="141"/>
      <c r="AS30" s="141"/>
      <c r="AT30" s="141"/>
      <c r="AU30" s="141"/>
      <c r="AV30" s="141"/>
      <c r="AW30" s="141"/>
      <c r="AX30" s="141"/>
      <c r="AY30" s="148"/>
      <c r="AZ30" s="141"/>
      <c r="BA30" s="141"/>
      <c r="BB30" s="141"/>
      <c r="BC30" s="141"/>
      <c r="BD30" s="141"/>
      <c r="BE30" s="141"/>
      <c r="BF30" s="141"/>
      <c r="BG30" s="141"/>
      <c r="BH30" s="141"/>
      <c r="BI30" s="141"/>
      <c r="BJ30" s="141"/>
      <c r="BK30" s="141"/>
      <c r="BL30" s="141"/>
      <c r="BM30" s="141"/>
    </row>
    <row r="31" spans="1:65" ht="26.25" x14ac:dyDescent="0.4">
      <c r="A31" s="141"/>
      <c r="B31" s="141"/>
      <c r="C31" s="141"/>
      <c r="D31" s="141"/>
      <c r="E31" s="141"/>
      <c r="F31" s="141"/>
      <c r="G31" s="141"/>
      <c r="H31" s="141"/>
      <c r="I31" s="141"/>
      <c r="J31" s="141"/>
      <c r="K31" s="149"/>
      <c r="L31" s="141"/>
      <c r="M31" s="141"/>
      <c r="N31" s="141"/>
      <c r="O31" s="141"/>
      <c r="P31" s="141"/>
      <c r="Q31" s="141"/>
      <c r="R31" s="145"/>
      <c r="S31" s="141"/>
      <c r="T31" s="141"/>
      <c r="U31" s="141"/>
      <c r="V31" s="141"/>
      <c r="W31" s="141"/>
      <c r="X31" s="141"/>
      <c r="Y31" s="141"/>
      <c r="Z31" s="141"/>
      <c r="AA31" s="141"/>
      <c r="AB31" s="141"/>
      <c r="AC31" s="141"/>
      <c r="AD31" s="141"/>
      <c r="AE31" s="141"/>
      <c r="AF31" s="149"/>
      <c r="AG31" s="141"/>
      <c r="AH31" s="141"/>
      <c r="AI31" s="141"/>
      <c r="AJ31" s="141"/>
      <c r="AK31" s="141"/>
      <c r="AL31" s="141"/>
      <c r="AM31" s="141"/>
      <c r="AN31" s="141"/>
      <c r="AO31" s="141"/>
      <c r="AP31" s="141"/>
      <c r="AQ31" s="141"/>
      <c r="AR31" s="141"/>
      <c r="AS31" s="141"/>
      <c r="AT31" s="141"/>
      <c r="AU31" s="141"/>
      <c r="AV31" s="141"/>
      <c r="AW31" s="141"/>
      <c r="AX31" s="141"/>
      <c r="AY31" s="149"/>
      <c r="AZ31" s="141"/>
      <c r="BA31" s="141"/>
      <c r="BB31" s="141"/>
      <c r="BC31" s="141"/>
      <c r="BD31" s="141"/>
      <c r="BE31" s="141"/>
      <c r="BF31" s="141"/>
      <c r="BG31" s="141"/>
      <c r="BH31" s="141"/>
      <c r="BI31" s="141"/>
      <c r="BJ31" s="141"/>
      <c r="BK31" s="141"/>
      <c r="BL31" s="141"/>
      <c r="BM31" s="141"/>
    </row>
    <row r="39" spans="3:34" ht="46.5" customHeight="1" x14ac:dyDescent="0.25"/>
    <row r="40" spans="3:34" x14ac:dyDescent="0.25">
      <c r="C40" s="85"/>
      <c r="D40" s="85"/>
      <c r="E40" s="85"/>
      <c r="F40" s="85"/>
      <c r="G40" s="85"/>
      <c r="H40" s="85"/>
      <c r="I40" s="85"/>
      <c r="J40" s="85"/>
      <c r="K40" s="85"/>
      <c r="L40" s="85"/>
      <c r="M40" s="85"/>
      <c r="N40" s="85"/>
      <c r="O40" s="85"/>
      <c r="P40" s="85"/>
      <c r="Q40" s="85"/>
      <c r="R40" s="85"/>
      <c r="S40" s="85"/>
      <c r="T40" s="85"/>
      <c r="U40" s="85"/>
      <c r="V40" s="85"/>
      <c r="W40" s="85"/>
      <c r="X40" s="85"/>
      <c r="Y40" s="85"/>
      <c r="Z40" s="85"/>
      <c r="AA40" s="85"/>
      <c r="AB40" s="85"/>
      <c r="AC40" s="85"/>
      <c r="AD40" s="85"/>
      <c r="AE40" s="85"/>
      <c r="AF40" s="85"/>
      <c r="AG40" s="85"/>
      <c r="AH40" s="85"/>
    </row>
    <row r="41" spans="3:34" ht="27" customHeight="1" x14ac:dyDescent="0.25"/>
    <row r="42" spans="3:34" ht="27" customHeight="1" x14ac:dyDescent="0.25"/>
    <row r="43" spans="3:34" ht="27" customHeight="1" x14ac:dyDescent="0.25"/>
    <row r="44" spans="3:34" ht="27" customHeight="1" x14ac:dyDescent="0.25"/>
    <row r="45" spans="3:34" ht="27" customHeight="1" x14ac:dyDescent="0.25"/>
    <row r="46" spans="3:34" x14ac:dyDescent="0.25">
      <c r="C46" s="320"/>
      <c r="D46" s="320"/>
      <c r="E46" s="320"/>
      <c r="F46" s="320"/>
      <c r="G46" s="320"/>
      <c r="H46" s="320"/>
      <c r="I46" s="320"/>
      <c r="J46" s="320"/>
      <c r="K46" s="320"/>
      <c r="L46" s="320"/>
      <c r="M46" s="320"/>
      <c r="N46" s="320"/>
      <c r="O46" s="320"/>
      <c r="P46" s="320"/>
      <c r="Q46" s="320"/>
      <c r="R46" s="87"/>
      <c r="S46" s="87"/>
      <c r="T46" s="87"/>
      <c r="U46" s="87"/>
      <c r="V46" s="87"/>
      <c r="W46" s="87"/>
      <c r="X46" s="87"/>
      <c r="Y46" s="87"/>
      <c r="Z46" s="87"/>
      <c r="AA46" s="87"/>
      <c r="AB46" s="87"/>
      <c r="AC46" s="87"/>
      <c r="AD46" s="87"/>
      <c r="AE46" s="87"/>
      <c r="AF46" s="87"/>
      <c r="AG46" s="87"/>
      <c r="AH46" s="87"/>
    </row>
    <row r="47" spans="3:34" x14ac:dyDescent="0.25">
      <c r="C47" s="320"/>
      <c r="D47" s="320"/>
      <c r="E47" s="320"/>
      <c r="F47" s="320"/>
      <c r="G47" s="320"/>
      <c r="H47" s="320"/>
      <c r="I47" s="320"/>
      <c r="J47" s="320"/>
      <c r="K47" s="320"/>
      <c r="L47" s="320"/>
      <c r="M47" s="320"/>
      <c r="N47" s="320"/>
      <c r="O47" s="320"/>
      <c r="P47" s="320"/>
      <c r="Q47" s="320"/>
      <c r="R47" s="87"/>
      <c r="S47" s="87"/>
      <c r="T47" s="87"/>
      <c r="U47" s="87"/>
      <c r="V47" s="87"/>
      <c r="W47" s="87"/>
      <c r="X47" s="87"/>
      <c r="Y47" s="87"/>
      <c r="Z47" s="87"/>
      <c r="AA47" s="87"/>
      <c r="AB47" s="87"/>
      <c r="AC47" s="87"/>
      <c r="AD47" s="87"/>
      <c r="AE47" s="87"/>
      <c r="AF47" s="87"/>
      <c r="AG47" s="87"/>
      <c r="AH47" s="87"/>
    </row>
    <row r="51" spans="17:34" ht="29.25" customHeight="1" x14ac:dyDescent="0.25">
      <c r="Q51" s="86"/>
      <c r="R51" s="86"/>
      <c r="S51" s="86"/>
      <c r="T51" s="86"/>
      <c r="U51" s="86"/>
      <c r="V51" s="86"/>
      <c r="W51" s="86"/>
      <c r="X51" s="86"/>
      <c r="Y51" s="86"/>
      <c r="Z51" s="86"/>
      <c r="AA51" s="86"/>
      <c r="AB51" s="86"/>
      <c r="AC51" s="86"/>
      <c r="AD51" s="86"/>
      <c r="AE51" s="86"/>
      <c r="AF51" s="86"/>
      <c r="AG51" s="86"/>
      <c r="AH51" s="86"/>
    </row>
    <row r="52" spans="17:34" ht="29.25" customHeight="1" x14ac:dyDescent="0.25">
      <c r="Q52" s="86"/>
      <c r="R52" s="86"/>
      <c r="S52" s="86"/>
      <c r="T52" s="86"/>
      <c r="U52" s="86"/>
      <c r="V52" s="86"/>
      <c r="W52" s="86"/>
      <c r="X52" s="86"/>
      <c r="Y52" s="86"/>
      <c r="Z52" s="86"/>
      <c r="AA52" s="86"/>
      <c r="AB52" s="86"/>
      <c r="AC52" s="86"/>
      <c r="AD52" s="86"/>
      <c r="AE52" s="86"/>
      <c r="AF52" s="86"/>
      <c r="AG52" s="86"/>
      <c r="AH52" s="86"/>
    </row>
  </sheetData>
  <mergeCells count="34">
    <mergeCell ref="A10:BM10"/>
    <mergeCell ref="A12:A13"/>
    <mergeCell ref="B12:B13"/>
    <mergeCell ref="C12:C13"/>
    <mergeCell ref="D12:D13"/>
    <mergeCell ref="E12:H12"/>
    <mergeCell ref="I12:L12"/>
    <mergeCell ref="M12:P12"/>
    <mergeCell ref="Q12:Q13"/>
    <mergeCell ref="R12:R13"/>
    <mergeCell ref="AV12:AV13"/>
    <mergeCell ref="S12:S13"/>
    <mergeCell ref="T12:W12"/>
    <mergeCell ref="X12:AA12"/>
    <mergeCell ref="AB12:AE12"/>
    <mergeCell ref="AF12:AF13"/>
    <mergeCell ref="BL12:BL13"/>
    <mergeCell ref="BM12:BM13"/>
    <mergeCell ref="AW12:AW13"/>
    <mergeCell ref="AX12:BA12"/>
    <mergeCell ref="BB12:BE12"/>
    <mergeCell ref="BF12:BI12"/>
    <mergeCell ref="BJ12:BJ13"/>
    <mergeCell ref="B21:C21"/>
    <mergeCell ref="B22:S22"/>
    <mergeCell ref="B23:S23"/>
    <mergeCell ref="BK12:BK13"/>
    <mergeCell ref="C46:Q47"/>
    <mergeCell ref="AU12:AU13"/>
    <mergeCell ref="AG12:AG13"/>
    <mergeCell ref="AH12:AH13"/>
    <mergeCell ref="AI12:AL12"/>
    <mergeCell ref="AM12:AP12"/>
    <mergeCell ref="AQ12:AT12"/>
  </mergeCells>
  <printOptions horizontalCentered="1"/>
  <pageMargins left="0.1" right="0.1" top="0.1" bottom="0.1" header="0.3" footer="0.3"/>
  <pageSetup paperSize="8" scale="3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1051BC-1F8C-42B7-B7C7-C97115D2D84A}">
  <sheetPr>
    <pageSetUpPr fitToPage="1"/>
  </sheetPr>
  <dimension ref="A3:BS48"/>
  <sheetViews>
    <sheetView view="pageBreakPreview" topLeftCell="AA13" zoomScale="55" zoomScaleNormal="39" zoomScaleSheetLayoutView="55" workbookViewId="0">
      <selection activeCell="BC16" sqref="BC16"/>
    </sheetView>
  </sheetViews>
  <sheetFormatPr defaultRowHeight="15" x14ac:dyDescent="0.25"/>
  <cols>
    <col min="1" max="1" width="7.7109375" customWidth="1"/>
    <col min="2" max="2" width="17.28515625" customWidth="1"/>
    <col min="3" max="3" width="18" customWidth="1"/>
    <col min="4" max="4" width="31.7109375" customWidth="1"/>
    <col min="5" max="16" width="6.7109375" customWidth="1"/>
    <col min="17" max="17" width="17.28515625" customWidth="1"/>
    <col min="18" max="18" width="17.85546875" customWidth="1"/>
    <col min="19" max="19" width="30.85546875" customWidth="1"/>
    <col min="20" max="31" width="6.7109375" customWidth="1"/>
    <col min="32" max="32" width="21.28515625" customWidth="1"/>
    <col min="33" max="33" width="18.5703125" customWidth="1"/>
    <col min="34" max="34" width="32.42578125" customWidth="1"/>
    <col min="35" max="46" width="6.7109375" customWidth="1"/>
    <col min="47" max="48" width="18.28515625" customWidth="1"/>
    <col min="49" max="49" width="32" customWidth="1"/>
    <col min="50" max="61" width="6.7109375" customWidth="1"/>
    <col min="62" max="62" width="19.5703125" customWidth="1"/>
    <col min="63" max="63" width="17.85546875" customWidth="1"/>
    <col min="64" max="64" width="32" customWidth="1"/>
    <col min="65" max="65" width="18.7109375" customWidth="1"/>
    <col min="67" max="67" width="12.7109375" customWidth="1"/>
  </cols>
  <sheetData>
    <row r="3" spans="1:71" x14ac:dyDescent="0.25">
      <c r="Q3" s="1"/>
      <c r="R3" s="1"/>
    </row>
    <row r="4" spans="1:71" x14ac:dyDescent="0.25">
      <c r="Q4" s="1"/>
      <c r="R4" s="1"/>
    </row>
    <row r="5" spans="1:71" x14ac:dyDescent="0.25">
      <c r="Q5" s="1"/>
      <c r="R5" s="1"/>
    </row>
    <row r="6" spans="1:71" x14ac:dyDescent="0.25">
      <c r="Q6" s="1"/>
      <c r="R6" s="1"/>
    </row>
    <row r="7" spans="1:71" x14ac:dyDescent="0.25">
      <c r="Q7" s="1"/>
      <c r="R7" s="1"/>
    </row>
    <row r="8" spans="1:71" x14ac:dyDescent="0.25">
      <c r="Q8" s="1"/>
      <c r="R8" s="1"/>
    </row>
    <row r="9" spans="1:71" x14ac:dyDescent="0.25">
      <c r="D9" s="15"/>
      <c r="Q9" s="1"/>
      <c r="R9" s="1"/>
    </row>
    <row r="10" spans="1:71" x14ac:dyDescent="0.25">
      <c r="D10" s="15"/>
      <c r="Q10" s="1"/>
      <c r="R10" s="1"/>
    </row>
    <row r="11" spans="1:71" ht="29.25" customHeight="1" x14ac:dyDescent="0.25"/>
    <row r="12" spans="1:71" ht="129.75" customHeight="1" x14ac:dyDescent="0.25">
      <c r="A12" s="334" t="s">
        <v>143</v>
      </c>
      <c r="B12" s="334"/>
      <c r="C12" s="334"/>
      <c r="D12" s="334"/>
      <c r="E12" s="334"/>
      <c r="F12" s="334"/>
      <c r="G12" s="334"/>
      <c r="H12" s="334"/>
      <c r="I12" s="334"/>
      <c r="J12" s="334"/>
      <c r="K12" s="334"/>
      <c r="L12" s="334"/>
      <c r="M12" s="334"/>
      <c r="N12" s="334"/>
      <c r="O12" s="334"/>
      <c r="P12" s="334"/>
      <c r="Q12" s="334"/>
      <c r="R12" s="334"/>
      <c r="S12" s="334"/>
      <c r="T12" s="334"/>
      <c r="U12" s="334"/>
      <c r="V12" s="334"/>
      <c r="W12" s="334"/>
      <c r="X12" s="334"/>
      <c r="Y12" s="334"/>
      <c r="Z12" s="334"/>
      <c r="AA12" s="334"/>
      <c r="AB12" s="334"/>
      <c r="AC12" s="334"/>
      <c r="AD12" s="334"/>
      <c r="AE12" s="334"/>
      <c r="AF12" s="334"/>
      <c r="AG12" s="334"/>
      <c r="AH12" s="334"/>
      <c r="AI12" s="334"/>
      <c r="AJ12" s="334"/>
      <c r="AK12" s="334"/>
      <c r="AL12" s="334"/>
      <c r="AM12" s="334"/>
      <c r="AN12" s="334"/>
      <c r="AO12" s="334"/>
      <c r="AP12" s="334"/>
      <c r="AQ12" s="334"/>
      <c r="AR12" s="334"/>
      <c r="AS12" s="334"/>
      <c r="AT12" s="334"/>
      <c r="AU12" s="334"/>
      <c r="AV12" s="334"/>
      <c r="AW12" s="334"/>
      <c r="AX12" s="334"/>
      <c r="AY12" s="334"/>
      <c r="AZ12" s="334"/>
      <c r="BA12" s="334"/>
      <c r="BB12" s="334"/>
      <c r="BC12" s="334"/>
      <c r="BD12" s="334"/>
      <c r="BE12" s="334"/>
      <c r="BF12" s="334"/>
      <c r="BG12" s="334"/>
      <c r="BH12" s="334"/>
      <c r="BI12" s="334"/>
      <c r="BJ12" s="334"/>
      <c r="BK12" s="334"/>
      <c r="BL12" s="334"/>
      <c r="BM12" s="334"/>
      <c r="BR12">
        <v>32832</v>
      </c>
      <c r="BS12" t="s">
        <v>139</v>
      </c>
    </row>
    <row r="13" spans="1:71" ht="87.75" customHeight="1" x14ac:dyDescent="0.25">
      <c r="A13" s="316" t="s">
        <v>68</v>
      </c>
      <c r="B13" s="337" t="s">
        <v>1</v>
      </c>
      <c r="C13" s="337" t="s">
        <v>95</v>
      </c>
      <c r="D13" s="338" t="s">
        <v>96</v>
      </c>
      <c r="E13" s="337" t="s">
        <v>97</v>
      </c>
      <c r="F13" s="337"/>
      <c r="G13" s="337"/>
      <c r="H13" s="337"/>
      <c r="I13" s="337" t="s">
        <v>98</v>
      </c>
      <c r="J13" s="337"/>
      <c r="K13" s="337"/>
      <c r="L13" s="337"/>
      <c r="M13" s="337" t="s">
        <v>99</v>
      </c>
      <c r="N13" s="337"/>
      <c r="O13" s="337"/>
      <c r="P13" s="337"/>
      <c r="Q13" s="340" t="s">
        <v>104</v>
      </c>
      <c r="R13" s="340" t="s">
        <v>105</v>
      </c>
      <c r="S13" s="340" t="s">
        <v>106</v>
      </c>
      <c r="T13" s="337" t="s">
        <v>108</v>
      </c>
      <c r="U13" s="337"/>
      <c r="V13" s="337"/>
      <c r="W13" s="337"/>
      <c r="X13" s="337" t="s">
        <v>109</v>
      </c>
      <c r="Y13" s="337"/>
      <c r="Z13" s="337"/>
      <c r="AA13" s="337"/>
      <c r="AB13" s="337" t="s">
        <v>110</v>
      </c>
      <c r="AC13" s="337"/>
      <c r="AD13" s="337"/>
      <c r="AE13" s="337"/>
      <c r="AF13" s="340" t="s">
        <v>104</v>
      </c>
      <c r="AG13" s="340" t="s">
        <v>105</v>
      </c>
      <c r="AH13" s="340" t="s">
        <v>106</v>
      </c>
      <c r="AI13" s="337" t="s">
        <v>115</v>
      </c>
      <c r="AJ13" s="337"/>
      <c r="AK13" s="337"/>
      <c r="AL13" s="337"/>
      <c r="AM13" s="337" t="s">
        <v>116</v>
      </c>
      <c r="AN13" s="337"/>
      <c r="AO13" s="337"/>
      <c r="AP13" s="337"/>
      <c r="AQ13" s="337" t="s">
        <v>117</v>
      </c>
      <c r="AR13" s="337"/>
      <c r="AS13" s="337"/>
      <c r="AT13" s="337"/>
      <c r="AU13" s="340" t="s">
        <v>104</v>
      </c>
      <c r="AV13" s="340" t="s">
        <v>105</v>
      </c>
      <c r="AW13" s="340" t="s">
        <v>106</v>
      </c>
      <c r="AX13" s="337" t="s">
        <v>118</v>
      </c>
      <c r="AY13" s="337"/>
      <c r="AZ13" s="337"/>
      <c r="BA13" s="337"/>
      <c r="BB13" s="337" t="s">
        <v>119</v>
      </c>
      <c r="BC13" s="337"/>
      <c r="BD13" s="337"/>
      <c r="BE13" s="337"/>
      <c r="BF13" s="337" t="s">
        <v>120</v>
      </c>
      <c r="BG13" s="337"/>
      <c r="BH13" s="337"/>
      <c r="BI13" s="337"/>
      <c r="BJ13" s="340" t="s">
        <v>104</v>
      </c>
      <c r="BK13" s="340" t="s">
        <v>105</v>
      </c>
      <c r="BL13" s="340" t="s">
        <v>106</v>
      </c>
      <c r="BM13" s="337" t="s">
        <v>107</v>
      </c>
      <c r="BR13">
        <v>4838</v>
      </c>
      <c r="BS13" t="s">
        <v>138</v>
      </c>
    </row>
    <row r="14" spans="1:71" ht="126" customHeight="1" x14ac:dyDescent="0.25">
      <c r="A14" s="316"/>
      <c r="B14" s="337"/>
      <c r="C14" s="337"/>
      <c r="D14" s="339"/>
      <c r="E14" s="108" t="s">
        <v>100</v>
      </c>
      <c r="F14" s="108" t="s">
        <v>101</v>
      </c>
      <c r="G14" s="108" t="s">
        <v>102</v>
      </c>
      <c r="H14" s="108" t="s">
        <v>103</v>
      </c>
      <c r="I14" s="108" t="s">
        <v>100</v>
      </c>
      <c r="J14" s="108" t="s">
        <v>101</v>
      </c>
      <c r="K14" s="108" t="s">
        <v>102</v>
      </c>
      <c r="L14" s="108" t="s">
        <v>103</v>
      </c>
      <c r="M14" s="108" t="s">
        <v>100</v>
      </c>
      <c r="N14" s="108" t="s">
        <v>101</v>
      </c>
      <c r="O14" s="108" t="s">
        <v>102</v>
      </c>
      <c r="P14" s="108" t="s">
        <v>103</v>
      </c>
      <c r="Q14" s="341"/>
      <c r="R14" s="341"/>
      <c r="S14" s="341"/>
      <c r="T14" s="108" t="s">
        <v>100</v>
      </c>
      <c r="U14" s="108" t="s">
        <v>101</v>
      </c>
      <c r="V14" s="108" t="s">
        <v>102</v>
      </c>
      <c r="W14" s="108" t="s">
        <v>103</v>
      </c>
      <c r="X14" s="108" t="s">
        <v>100</v>
      </c>
      <c r="Y14" s="108" t="s">
        <v>101</v>
      </c>
      <c r="Z14" s="108" t="s">
        <v>102</v>
      </c>
      <c r="AA14" s="108" t="s">
        <v>103</v>
      </c>
      <c r="AB14" s="108" t="s">
        <v>100</v>
      </c>
      <c r="AC14" s="108" t="s">
        <v>101</v>
      </c>
      <c r="AD14" s="108" t="s">
        <v>102</v>
      </c>
      <c r="AE14" s="108" t="s">
        <v>103</v>
      </c>
      <c r="AF14" s="341"/>
      <c r="AG14" s="341"/>
      <c r="AH14" s="341"/>
      <c r="AI14" s="108" t="s">
        <v>100</v>
      </c>
      <c r="AJ14" s="108" t="s">
        <v>101</v>
      </c>
      <c r="AK14" s="108" t="s">
        <v>102</v>
      </c>
      <c r="AL14" s="108" t="s">
        <v>103</v>
      </c>
      <c r="AM14" s="108" t="s">
        <v>100</v>
      </c>
      <c r="AN14" s="108" t="s">
        <v>101</v>
      </c>
      <c r="AO14" s="108" t="s">
        <v>102</v>
      </c>
      <c r="AP14" s="108" t="s">
        <v>103</v>
      </c>
      <c r="AQ14" s="108" t="s">
        <v>100</v>
      </c>
      <c r="AR14" s="108" t="s">
        <v>101</v>
      </c>
      <c r="AS14" s="108" t="s">
        <v>102</v>
      </c>
      <c r="AT14" s="108" t="s">
        <v>103</v>
      </c>
      <c r="AU14" s="341"/>
      <c r="AV14" s="341"/>
      <c r="AW14" s="341"/>
      <c r="AX14" s="108" t="s">
        <v>100</v>
      </c>
      <c r="AY14" s="108" t="s">
        <v>101</v>
      </c>
      <c r="AZ14" s="108" t="s">
        <v>102</v>
      </c>
      <c r="BA14" s="108" t="s">
        <v>103</v>
      </c>
      <c r="BB14" s="108" t="s">
        <v>100</v>
      </c>
      <c r="BC14" s="108" t="s">
        <v>101</v>
      </c>
      <c r="BD14" s="108" t="s">
        <v>102</v>
      </c>
      <c r="BE14" s="108" t="s">
        <v>103</v>
      </c>
      <c r="BF14" s="108" t="s">
        <v>100</v>
      </c>
      <c r="BG14" s="108" t="s">
        <v>101</v>
      </c>
      <c r="BH14" s="108" t="s">
        <v>102</v>
      </c>
      <c r="BI14" s="108" t="s">
        <v>103</v>
      </c>
      <c r="BJ14" s="341"/>
      <c r="BK14" s="341"/>
      <c r="BL14" s="341"/>
      <c r="BM14" s="337"/>
      <c r="BR14">
        <f>BR12-BR13</f>
        <v>27994</v>
      </c>
      <c r="BS14" t="s">
        <v>140</v>
      </c>
    </row>
    <row r="15" spans="1:71" s="141" customFormat="1" ht="306.75" customHeight="1" x14ac:dyDescent="0.4">
      <c r="A15" s="158">
        <v>1</v>
      </c>
      <c r="B15" s="212" t="s">
        <v>13</v>
      </c>
      <c r="C15" s="213" t="s">
        <v>136</v>
      </c>
      <c r="D15" s="159" t="s">
        <v>178</v>
      </c>
      <c r="E15" s="213"/>
      <c r="F15" s="213"/>
      <c r="G15" s="213"/>
      <c r="J15" s="214"/>
      <c r="K15" s="214"/>
      <c r="L15" s="214"/>
      <c r="N15" s="214"/>
      <c r="O15" s="215"/>
      <c r="Q15" s="216">
        <f>1065.35+136+136+136</f>
        <v>1473.35</v>
      </c>
      <c r="R15" s="217" t="s">
        <v>69</v>
      </c>
      <c r="S15" s="159" t="s">
        <v>186</v>
      </c>
      <c r="T15" s="213"/>
      <c r="U15" s="213"/>
      <c r="W15" s="218"/>
      <c r="X15" s="218"/>
      <c r="Y15" s="214"/>
      <c r="Z15" s="214"/>
      <c r="AA15" s="214"/>
      <c r="AB15" s="214"/>
      <c r="AC15" s="214"/>
      <c r="AD15" s="215"/>
      <c r="AE15" s="214"/>
      <c r="AF15" s="216">
        <f>(1065.35+136+136+136)*3</f>
        <v>4420.0499999999993</v>
      </c>
      <c r="AG15" s="217" t="s">
        <v>69</v>
      </c>
      <c r="AH15" s="159" t="s">
        <v>186</v>
      </c>
      <c r="AI15" s="213"/>
      <c r="AJ15" s="213"/>
      <c r="AL15" s="214"/>
      <c r="AN15" s="214"/>
      <c r="AO15" s="214"/>
      <c r="AP15" s="214"/>
      <c r="AQ15" s="214"/>
      <c r="AR15" s="214"/>
      <c r="AS15" s="215"/>
      <c r="AT15" s="214"/>
      <c r="AU15" s="216">
        <f>(1065.35+136+136+136)*3</f>
        <v>4420.0499999999993</v>
      </c>
      <c r="AV15" s="217" t="s">
        <v>69</v>
      </c>
      <c r="AW15" s="159" t="s">
        <v>186</v>
      </c>
      <c r="AX15" s="213"/>
      <c r="AY15" s="213"/>
      <c r="AZ15" s="214"/>
      <c r="BB15" s="214"/>
      <c r="BC15" s="214"/>
      <c r="BD15" s="214"/>
      <c r="BE15" s="214"/>
      <c r="BF15" s="214"/>
      <c r="BG15" s="214"/>
      <c r="BH15" s="215"/>
      <c r="BI15" s="214"/>
      <c r="BJ15" s="216">
        <f>(1065.35+136+136+136)*3</f>
        <v>4420.0499999999993</v>
      </c>
      <c r="BK15" s="217" t="s">
        <v>69</v>
      </c>
      <c r="BL15" s="159" t="s">
        <v>186</v>
      </c>
      <c r="BM15" s="257">
        <f>BJ15+AU15+AF15+Q15</f>
        <v>14733.499999999998</v>
      </c>
      <c r="BR15" s="219">
        <f>BR14-BM18</f>
        <v>-4837.6499999999942</v>
      </c>
      <c r="BS15" s="141" t="s">
        <v>137</v>
      </c>
    </row>
    <row r="16" spans="1:71" s="141" customFormat="1" ht="274.5" customHeight="1" x14ac:dyDescent="0.4">
      <c r="A16" s="158">
        <f>A15+1</f>
        <v>2</v>
      </c>
      <c r="B16" s="212" t="s">
        <v>13</v>
      </c>
      <c r="C16" s="213" t="s">
        <v>142</v>
      </c>
      <c r="D16" s="159" t="s">
        <v>178</v>
      </c>
      <c r="E16" s="213"/>
      <c r="F16" s="213"/>
      <c r="G16" s="213"/>
      <c r="H16" s="214"/>
      <c r="I16" s="214"/>
      <c r="K16" s="214"/>
      <c r="L16" s="214"/>
      <c r="M16" s="214"/>
      <c r="N16" s="214"/>
      <c r="O16" s="214"/>
      <c r="P16" s="221"/>
      <c r="Q16" s="220">
        <v>4838</v>
      </c>
      <c r="R16" s="217" t="s">
        <v>69</v>
      </c>
      <c r="S16" s="159" t="s">
        <v>166</v>
      </c>
      <c r="T16" s="213"/>
      <c r="U16" s="213"/>
      <c r="V16" s="213"/>
      <c r="X16" s="218"/>
      <c r="Y16" s="218"/>
      <c r="Z16" s="214"/>
      <c r="AA16" s="214"/>
      <c r="AB16" s="214"/>
      <c r="AC16" s="214"/>
      <c r="AD16" s="214"/>
      <c r="AE16" s="221"/>
      <c r="AF16" s="216">
        <f>(1065.35+136+136+136)*3</f>
        <v>4420.0499999999993</v>
      </c>
      <c r="AG16" s="217" t="s">
        <v>69</v>
      </c>
      <c r="AH16" s="159" t="s">
        <v>187</v>
      </c>
      <c r="AI16" s="213"/>
      <c r="AJ16" s="213"/>
      <c r="AK16" s="213"/>
      <c r="AM16" s="214"/>
      <c r="AO16" s="214"/>
      <c r="AP16" s="214"/>
      <c r="AQ16" s="214"/>
      <c r="AR16" s="214"/>
      <c r="AS16" s="214"/>
      <c r="AT16" s="222"/>
      <c r="AU16" s="216">
        <f>(1065.35+136+136+136)*3</f>
        <v>4420.0499999999993</v>
      </c>
      <c r="AV16" s="217" t="s">
        <v>69</v>
      </c>
      <c r="AW16" s="159" t="s">
        <v>187</v>
      </c>
      <c r="AX16" s="213"/>
      <c r="AY16" s="213"/>
      <c r="AZ16" s="214"/>
      <c r="BA16" s="214"/>
      <c r="BC16" s="214"/>
      <c r="BD16" s="214"/>
      <c r="BE16" s="214"/>
      <c r="BF16" s="214"/>
      <c r="BG16" s="214"/>
      <c r="BH16" s="214"/>
      <c r="BI16" s="222"/>
      <c r="BJ16" s="216">
        <f>(1065.35+136+136+136)*3</f>
        <v>4420.0499999999993</v>
      </c>
      <c r="BK16" s="217" t="s">
        <v>69</v>
      </c>
      <c r="BL16" s="159" t="s">
        <v>187</v>
      </c>
      <c r="BM16" s="105">
        <f>BJ16+AU16+AF16+Q16</f>
        <v>18098.149999999998</v>
      </c>
      <c r="BS16" s="141" t="s">
        <v>141</v>
      </c>
    </row>
    <row r="17" spans="1:65" s="141" customFormat="1" ht="150.75" customHeight="1" x14ac:dyDescent="0.4">
      <c r="A17" s="158"/>
      <c r="B17" s="342" t="s">
        <v>114</v>
      </c>
      <c r="C17" s="343"/>
      <c r="D17" s="223"/>
      <c r="E17" s="223"/>
      <c r="F17" s="223"/>
      <c r="G17" s="223"/>
      <c r="H17" s="223"/>
      <c r="I17" s="223"/>
      <c r="J17" s="223"/>
      <c r="K17" s="223"/>
      <c r="L17" s="223"/>
      <c r="M17" s="223"/>
      <c r="N17" s="223"/>
      <c r="O17" s="223"/>
      <c r="P17" s="223"/>
      <c r="Q17" s="224">
        <f>SUM(Q15:Q16)</f>
        <v>6311.35</v>
      </c>
      <c r="R17" s="225"/>
      <c r="S17" s="226"/>
      <c r="T17" s="223"/>
      <c r="U17" s="223"/>
      <c r="V17" s="223"/>
      <c r="W17" s="223"/>
      <c r="X17" s="223"/>
      <c r="Y17" s="223"/>
      <c r="Z17" s="223"/>
      <c r="AA17" s="223"/>
      <c r="AB17" s="223"/>
      <c r="AC17" s="223"/>
      <c r="AD17" s="223"/>
      <c r="AE17" s="223"/>
      <c r="AF17" s="227">
        <f>SUM(AF15:AF16)</f>
        <v>8840.0999999999985</v>
      </c>
      <c r="AG17" s="223"/>
      <c r="AH17" s="223"/>
      <c r="AI17" s="223"/>
      <c r="AJ17" s="223"/>
      <c r="AK17" s="223"/>
      <c r="AL17" s="223"/>
      <c r="AM17" s="223"/>
      <c r="AN17" s="223"/>
      <c r="AO17" s="223"/>
      <c r="AP17" s="223"/>
      <c r="AQ17" s="223"/>
      <c r="AR17" s="223"/>
      <c r="AS17" s="223"/>
      <c r="AT17" s="223"/>
      <c r="AU17" s="227">
        <f>SUM(AU15:AU16)</f>
        <v>8840.0999999999985</v>
      </c>
      <c r="AV17" s="223"/>
      <c r="AW17" s="223"/>
      <c r="AX17" s="223"/>
      <c r="AY17" s="223"/>
      <c r="AZ17" s="223"/>
      <c r="BA17" s="223"/>
      <c r="BB17" s="223"/>
      <c r="BC17" s="223"/>
      <c r="BD17" s="223"/>
      <c r="BE17" s="223"/>
      <c r="BF17" s="223"/>
      <c r="BG17" s="223"/>
      <c r="BH17" s="223"/>
      <c r="BI17" s="223"/>
      <c r="BJ17" s="227">
        <f>SUM(BJ15:BJ16)</f>
        <v>8840.0999999999985</v>
      </c>
      <c r="BK17" s="223"/>
      <c r="BL17" s="223"/>
      <c r="BM17" s="106"/>
    </row>
    <row r="18" spans="1:65" ht="111.75" customHeight="1" x14ac:dyDescent="0.25">
      <c r="A18" s="104"/>
      <c r="B18" s="344" t="s">
        <v>34</v>
      </c>
      <c r="C18" s="345"/>
      <c r="D18" s="345"/>
      <c r="E18" s="345"/>
      <c r="F18" s="345"/>
      <c r="G18" s="345"/>
      <c r="H18" s="345"/>
      <c r="I18" s="345"/>
      <c r="J18" s="345"/>
      <c r="K18" s="345"/>
      <c r="L18" s="345"/>
      <c r="M18" s="345"/>
      <c r="N18" s="345"/>
      <c r="O18" s="345"/>
      <c r="P18" s="345"/>
      <c r="Q18" s="345"/>
      <c r="R18" s="345"/>
      <c r="S18" s="345"/>
      <c r="T18" s="103"/>
      <c r="U18" s="103"/>
      <c r="V18" s="103"/>
      <c r="W18" s="103"/>
      <c r="X18" s="103"/>
      <c r="Y18" s="103"/>
      <c r="Z18" s="103"/>
      <c r="AA18" s="103"/>
      <c r="AB18" s="103"/>
      <c r="AC18" s="103"/>
      <c r="AD18" s="103"/>
      <c r="AE18" s="103"/>
      <c r="AF18" s="103"/>
      <c r="AG18" s="103"/>
      <c r="AH18" s="103"/>
      <c r="AI18" s="103"/>
      <c r="AJ18" s="103"/>
      <c r="AK18" s="103"/>
      <c r="AL18" s="103"/>
      <c r="AM18" s="103"/>
      <c r="AN18" s="103"/>
      <c r="AO18" s="103"/>
      <c r="AP18" s="103"/>
      <c r="AQ18" s="103"/>
      <c r="AR18" s="103"/>
      <c r="AS18" s="103"/>
      <c r="AT18" s="103"/>
      <c r="AU18" s="103"/>
      <c r="AV18" s="103"/>
      <c r="AW18" s="103"/>
      <c r="AX18" s="103"/>
      <c r="AY18" s="103"/>
      <c r="AZ18" s="103"/>
      <c r="BA18" s="103"/>
      <c r="BB18" s="103"/>
      <c r="BC18" s="103"/>
      <c r="BD18" s="103"/>
      <c r="BE18" s="103"/>
      <c r="BF18" s="103"/>
      <c r="BG18" s="103"/>
      <c r="BH18" s="103"/>
      <c r="BI18" s="103"/>
      <c r="BJ18" s="103"/>
      <c r="BK18" s="103"/>
      <c r="BL18" s="103"/>
      <c r="BM18" s="107">
        <f>SUM(BM15:BM17)</f>
        <v>32831.649999999994</v>
      </c>
    </row>
    <row r="19" spans="1:65" ht="16.5" customHeight="1" x14ac:dyDescent="0.35">
      <c r="B19" s="321"/>
      <c r="C19" s="321"/>
      <c r="D19" s="321"/>
      <c r="E19" s="321"/>
      <c r="F19" s="321"/>
      <c r="G19" s="321"/>
      <c r="H19" s="321"/>
      <c r="I19" s="321"/>
      <c r="J19" s="321"/>
      <c r="K19" s="321"/>
      <c r="L19" s="321"/>
      <c r="M19" s="321"/>
      <c r="N19" s="321"/>
      <c r="O19" s="321"/>
      <c r="P19" s="321"/>
      <c r="Q19" s="321"/>
      <c r="R19" s="321"/>
      <c r="S19" s="321"/>
      <c r="T19" s="90"/>
      <c r="U19" s="90"/>
      <c r="V19" s="90"/>
      <c r="W19" s="90"/>
      <c r="X19" s="90"/>
      <c r="Y19" s="90"/>
      <c r="Z19" s="90"/>
      <c r="AA19" s="90"/>
      <c r="AB19" s="90"/>
      <c r="AC19" s="90"/>
      <c r="AD19" s="90"/>
      <c r="AE19" s="90"/>
      <c r="AF19" s="90"/>
      <c r="AG19" s="90"/>
      <c r="AH19" s="90"/>
      <c r="AI19" s="91"/>
      <c r="BM19" s="45"/>
    </row>
    <row r="20" spans="1:65" ht="75" customHeight="1" x14ac:dyDescent="0.25">
      <c r="Q20" s="1"/>
      <c r="R20" s="1"/>
      <c r="BM20" s="110"/>
    </row>
    <row r="21" spans="1:65" x14ac:dyDescent="0.25">
      <c r="Q21" s="1"/>
      <c r="R21" s="1"/>
      <c r="BM21" s="110"/>
    </row>
    <row r="22" spans="1:65" ht="23.25" x14ac:dyDescent="0.35">
      <c r="G22" s="94"/>
      <c r="H22" s="94"/>
      <c r="J22" s="94"/>
      <c r="K22" s="94"/>
      <c r="Q22" s="98" t="s">
        <v>165</v>
      </c>
      <c r="R22" s="99"/>
      <c r="S22" s="96"/>
      <c r="T22" s="96"/>
      <c r="U22" s="96"/>
      <c r="V22" s="96"/>
      <c r="W22" s="96"/>
      <c r="X22" s="96"/>
      <c r="Y22" s="96"/>
      <c r="Z22" s="96"/>
      <c r="AA22" s="96"/>
      <c r="AB22" s="96"/>
      <c r="AC22" s="96"/>
      <c r="AD22" s="96"/>
      <c r="AE22" s="96"/>
      <c r="AF22" s="96"/>
      <c r="AG22" s="96"/>
      <c r="AH22" s="96"/>
      <c r="AI22" s="96"/>
      <c r="AJ22" s="96"/>
      <c r="AK22" s="96"/>
      <c r="AL22" s="96"/>
      <c r="AM22" s="96"/>
      <c r="AN22" s="96"/>
      <c r="AO22" s="96"/>
      <c r="AP22" s="96"/>
      <c r="AQ22" s="96"/>
      <c r="AR22" s="96"/>
      <c r="AS22" s="96"/>
      <c r="AT22" s="96"/>
      <c r="AU22" s="96"/>
      <c r="AV22" s="96"/>
      <c r="AW22" s="98" t="s">
        <v>165</v>
      </c>
      <c r="AX22" s="96"/>
      <c r="AY22" s="96"/>
    </row>
    <row r="23" spans="1:65" ht="23.25" x14ac:dyDescent="0.35">
      <c r="G23" s="94"/>
      <c r="H23" s="94"/>
      <c r="J23" s="94"/>
      <c r="K23" s="94"/>
      <c r="Q23" s="100" t="s">
        <v>38</v>
      </c>
      <c r="R23" s="99"/>
      <c r="S23" s="96"/>
      <c r="T23" s="96"/>
      <c r="U23" s="96"/>
      <c r="V23" s="96"/>
      <c r="W23" s="96"/>
      <c r="X23" s="96"/>
      <c r="Y23" s="96"/>
      <c r="Z23" s="96"/>
      <c r="AA23" s="96"/>
      <c r="AB23" s="96"/>
      <c r="AC23" s="96"/>
      <c r="AD23" s="96"/>
      <c r="AE23" s="96"/>
      <c r="AF23" s="96"/>
      <c r="AG23" s="96"/>
      <c r="AH23" s="96"/>
      <c r="AI23" s="96"/>
      <c r="AJ23" s="96"/>
      <c r="AK23" s="96"/>
      <c r="AL23" s="96"/>
      <c r="AM23" s="96"/>
      <c r="AN23" s="96"/>
      <c r="AO23" s="96"/>
      <c r="AP23" s="96"/>
      <c r="AQ23" s="96"/>
      <c r="AR23" s="96"/>
      <c r="AS23" s="96"/>
      <c r="AT23" s="96"/>
      <c r="AU23" s="96"/>
      <c r="AV23" s="96"/>
      <c r="AW23" s="100" t="s">
        <v>112</v>
      </c>
      <c r="AX23" s="96"/>
      <c r="AY23" s="96"/>
    </row>
    <row r="24" spans="1:65" ht="61.5" customHeight="1" x14ac:dyDescent="0.35">
      <c r="G24" s="94"/>
      <c r="H24" s="94"/>
      <c r="J24" s="94"/>
      <c r="K24" s="94"/>
      <c r="Q24" s="96"/>
      <c r="R24" s="99"/>
      <c r="S24" s="96"/>
      <c r="T24" s="96"/>
      <c r="U24" s="96"/>
      <c r="V24" s="96"/>
      <c r="W24" s="96"/>
      <c r="X24" s="96"/>
      <c r="Y24" s="96"/>
      <c r="Z24" s="96"/>
      <c r="AA24" s="96"/>
      <c r="AB24" s="96"/>
      <c r="AC24" s="96"/>
      <c r="AD24" s="96"/>
      <c r="AE24" s="96"/>
      <c r="AF24" s="96"/>
      <c r="AG24" s="96"/>
      <c r="AH24" s="96"/>
      <c r="AI24" s="96"/>
      <c r="AJ24" s="96"/>
      <c r="AK24" s="96"/>
      <c r="AL24" s="96"/>
      <c r="AM24" s="96"/>
      <c r="AN24" s="96"/>
      <c r="AO24" s="96"/>
      <c r="AP24" s="96"/>
      <c r="AQ24" s="96"/>
      <c r="AR24" s="96"/>
      <c r="AS24" s="96"/>
      <c r="AT24" s="96"/>
      <c r="AU24" s="96"/>
      <c r="AV24" s="96"/>
      <c r="AW24" s="96"/>
      <c r="AX24" s="96"/>
      <c r="AY24" s="96"/>
    </row>
    <row r="25" spans="1:65" ht="23.25" x14ac:dyDescent="0.35">
      <c r="G25" s="94"/>
      <c r="H25" s="94"/>
      <c r="J25" s="94"/>
      <c r="K25" s="94"/>
      <c r="Q25" s="96"/>
      <c r="R25" s="99"/>
      <c r="S25" s="96"/>
      <c r="T25" s="96"/>
      <c r="U25" s="96"/>
      <c r="V25" s="96"/>
      <c r="W25" s="96"/>
      <c r="X25" s="96"/>
      <c r="Y25" s="96"/>
      <c r="Z25" s="96"/>
      <c r="AA25" s="96"/>
      <c r="AB25" s="96"/>
      <c r="AC25" s="96"/>
      <c r="AD25" s="96"/>
      <c r="AE25" s="96"/>
      <c r="AF25" s="96"/>
      <c r="AG25" s="96"/>
      <c r="AH25" s="96"/>
      <c r="AI25" s="96"/>
      <c r="AJ25" s="96"/>
      <c r="AK25" s="96"/>
      <c r="AL25" s="96"/>
      <c r="AM25" s="96"/>
      <c r="AN25" s="96"/>
      <c r="AO25" s="96"/>
      <c r="AP25" s="96"/>
      <c r="AQ25" s="96"/>
      <c r="AR25" s="96"/>
      <c r="AS25" s="96"/>
      <c r="AT25" s="96"/>
      <c r="AU25" s="96"/>
      <c r="AV25" s="96"/>
      <c r="AW25" s="96"/>
      <c r="AX25" s="96"/>
      <c r="AY25" s="96"/>
    </row>
    <row r="26" spans="1:65" ht="23.25" x14ac:dyDescent="0.35">
      <c r="G26" s="94"/>
      <c r="H26" s="94"/>
      <c r="J26" s="94"/>
      <c r="K26" s="94"/>
      <c r="Q26" s="101" t="s">
        <v>144</v>
      </c>
      <c r="R26" s="99"/>
      <c r="S26" s="96"/>
      <c r="T26" s="96"/>
      <c r="U26" s="96"/>
      <c r="V26" s="96"/>
      <c r="W26" s="96"/>
      <c r="X26" s="96"/>
      <c r="Y26" s="96"/>
      <c r="Z26" s="96"/>
      <c r="AA26" s="96"/>
      <c r="AB26" s="96"/>
      <c r="AC26" s="96"/>
      <c r="AD26" s="96"/>
      <c r="AE26" s="96"/>
      <c r="AF26" s="96"/>
      <c r="AG26" s="96"/>
      <c r="AH26" s="96"/>
      <c r="AI26" s="96"/>
      <c r="AJ26" s="96"/>
      <c r="AK26" s="96"/>
      <c r="AL26" s="96"/>
      <c r="AM26" s="96"/>
      <c r="AN26" s="96"/>
      <c r="AO26" s="96"/>
      <c r="AP26" s="96"/>
      <c r="AQ26" s="96"/>
      <c r="AR26" s="96"/>
      <c r="AS26" s="96"/>
      <c r="AT26" s="96"/>
      <c r="AU26" s="96"/>
      <c r="AV26" s="96"/>
      <c r="AW26" s="101" t="s">
        <v>145</v>
      </c>
      <c r="AX26" s="96"/>
      <c r="AY26" s="96"/>
    </row>
    <row r="27" spans="1:65" ht="23.25" x14ac:dyDescent="0.35">
      <c r="G27" s="94"/>
      <c r="H27" s="94"/>
      <c r="J27" s="94"/>
      <c r="K27" s="94"/>
      <c r="Q27" s="102" t="s">
        <v>111</v>
      </c>
      <c r="R27" s="99"/>
      <c r="S27" s="96"/>
      <c r="T27" s="96"/>
      <c r="U27" s="96"/>
      <c r="V27" s="96"/>
      <c r="W27" s="96"/>
      <c r="X27" s="96"/>
      <c r="Y27" s="96"/>
      <c r="Z27" s="96"/>
      <c r="AA27" s="96"/>
      <c r="AB27" s="96"/>
      <c r="AC27" s="96"/>
      <c r="AD27" s="96"/>
      <c r="AE27" s="96"/>
      <c r="AF27" s="96"/>
      <c r="AG27" s="96"/>
      <c r="AH27" s="96"/>
      <c r="AI27" s="96"/>
      <c r="AJ27" s="96"/>
      <c r="AK27" s="96"/>
      <c r="AL27" s="96"/>
      <c r="AM27" s="96"/>
      <c r="AN27" s="96"/>
      <c r="AO27" s="96"/>
      <c r="AP27" s="96"/>
      <c r="AQ27" s="96"/>
      <c r="AR27" s="96"/>
      <c r="AS27" s="96"/>
      <c r="AT27" s="96"/>
      <c r="AU27" s="96"/>
      <c r="AV27" s="96"/>
      <c r="AW27" s="102" t="s">
        <v>113</v>
      </c>
      <c r="AX27" s="96"/>
      <c r="AY27" s="96"/>
    </row>
    <row r="35" spans="3:34" ht="46.5" customHeight="1" x14ac:dyDescent="0.25"/>
    <row r="36" spans="3:34" x14ac:dyDescent="0.25">
      <c r="C36" s="85"/>
      <c r="D36" s="85"/>
      <c r="E36" s="85"/>
      <c r="F36" s="85"/>
      <c r="G36" s="85"/>
      <c r="H36" s="85"/>
      <c r="I36" s="85"/>
      <c r="J36" s="85"/>
      <c r="K36" s="85"/>
      <c r="L36" s="85"/>
      <c r="M36" s="85"/>
      <c r="N36" s="85"/>
      <c r="O36" s="85"/>
      <c r="P36" s="85"/>
      <c r="Q36" s="85"/>
      <c r="R36" s="85"/>
      <c r="S36" s="85"/>
      <c r="T36" s="85"/>
      <c r="U36" s="85"/>
      <c r="V36" s="85"/>
      <c r="W36" s="85"/>
      <c r="X36" s="85"/>
      <c r="Y36" s="85"/>
      <c r="Z36" s="85"/>
      <c r="AA36" s="85"/>
      <c r="AB36" s="85"/>
      <c r="AC36" s="85"/>
      <c r="AD36" s="85"/>
      <c r="AE36" s="85"/>
      <c r="AF36" s="85"/>
      <c r="AG36" s="85"/>
      <c r="AH36" s="85"/>
    </row>
    <row r="37" spans="3:34" ht="27" customHeight="1" x14ac:dyDescent="0.25"/>
    <row r="38" spans="3:34" ht="27" customHeight="1" x14ac:dyDescent="0.25"/>
    <row r="39" spans="3:34" ht="27" customHeight="1" x14ac:dyDescent="0.25"/>
    <row r="40" spans="3:34" ht="27" customHeight="1" x14ac:dyDescent="0.25"/>
    <row r="41" spans="3:34" ht="27" customHeight="1" x14ac:dyDescent="0.25"/>
    <row r="42" spans="3:34" x14ac:dyDescent="0.25">
      <c r="C42" s="320"/>
      <c r="D42" s="320"/>
      <c r="E42" s="320"/>
      <c r="F42" s="320"/>
      <c r="G42" s="320"/>
      <c r="H42" s="320"/>
      <c r="I42" s="320"/>
      <c r="J42" s="320"/>
      <c r="K42" s="320"/>
      <c r="L42" s="320"/>
      <c r="M42" s="320"/>
      <c r="N42" s="320"/>
      <c r="O42" s="320"/>
      <c r="P42" s="320"/>
      <c r="Q42" s="320"/>
      <c r="R42" s="87"/>
      <c r="S42" s="87"/>
      <c r="T42" s="87"/>
      <c r="U42" s="87"/>
      <c r="V42" s="87"/>
      <c r="W42" s="87"/>
      <c r="X42" s="87"/>
      <c r="Y42" s="87"/>
      <c r="Z42" s="87"/>
      <c r="AA42" s="87"/>
      <c r="AB42" s="87"/>
      <c r="AC42" s="87"/>
      <c r="AD42" s="87"/>
      <c r="AE42" s="87"/>
      <c r="AF42" s="87"/>
      <c r="AG42" s="87"/>
      <c r="AH42" s="87"/>
    </row>
    <row r="43" spans="3:34" x14ac:dyDescent="0.25">
      <c r="C43" s="320"/>
      <c r="D43" s="320"/>
      <c r="E43" s="320"/>
      <c r="F43" s="320"/>
      <c r="G43" s="320"/>
      <c r="H43" s="320"/>
      <c r="I43" s="320"/>
      <c r="J43" s="320"/>
      <c r="K43" s="320"/>
      <c r="L43" s="320"/>
      <c r="M43" s="320"/>
      <c r="N43" s="320"/>
      <c r="O43" s="320"/>
      <c r="P43" s="320"/>
      <c r="Q43" s="320"/>
      <c r="R43" s="87"/>
      <c r="S43" s="87"/>
      <c r="T43" s="87"/>
      <c r="U43" s="87"/>
      <c r="V43" s="87"/>
      <c r="W43" s="87"/>
      <c r="X43" s="87"/>
      <c r="Y43" s="87"/>
      <c r="Z43" s="87"/>
      <c r="AA43" s="87"/>
      <c r="AB43" s="87"/>
      <c r="AC43" s="87"/>
      <c r="AD43" s="87"/>
      <c r="AE43" s="87"/>
      <c r="AF43" s="87"/>
      <c r="AG43" s="87"/>
      <c r="AH43" s="87"/>
    </row>
    <row r="47" spans="3:34" ht="29.25" customHeight="1" x14ac:dyDescent="0.25">
      <c r="Q47" s="86"/>
      <c r="R47" s="86"/>
      <c r="S47" s="86"/>
      <c r="T47" s="86"/>
      <c r="U47" s="86"/>
      <c r="V47" s="86"/>
      <c r="W47" s="86"/>
      <c r="X47" s="86"/>
      <c r="Y47" s="86"/>
      <c r="Z47" s="86"/>
      <c r="AA47" s="86"/>
      <c r="AB47" s="86"/>
      <c r="AC47" s="86"/>
      <c r="AD47" s="86"/>
      <c r="AE47" s="86"/>
      <c r="AF47" s="86"/>
      <c r="AG47" s="86"/>
      <c r="AH47" s="86"/>
    </row>
    <row r="48" spans="3:34" ht="29.25" customHeight="1" x14ac:dyDescent="0.25">
      <c r="Q48" s="86"/>
      <c r="R48" s="86"/>
      <c r="S48" s="86"/>
      <c r="T48" s="86"/>
      <c r="U48" s="86"/>
      <c r="V48" s="86"/>
      <c r="W48" s="86"/>
      <c r="X48" s="86"/>
      <c r="Y48" s="86"/>
      <c r="Z48" s="86"/>
      <c r="AA48" s="86"/>
      <c r="AB48" s="86"/>
      <c r="AC48" s="86"/>
      <c r="AD48" s="86"/>
      <c r="AE48" s="86"/>
      <c r="AF48" s="86"/>
      <c r="AG48" s="86"/>
      <c r="AH48" s="86"/>
    </row>
  </sheetData>
  <mergeCells count="34">
    <mergeCell ref="C42:Q43"/>
    <mergeCell ref="S13:S14"/>
    <mergeCell ref="T13:W13"/>
    <mergeCell ref="X13:AA13"/>
    <mergeCell ref="AB13:AE13"/>
    <mergeCell ref="B18:S18"/>
    <mergeCell ref="B19:S19"/>
    <mergeCell ref="B17:C17"/>
    <mergeCell ref="BB13:BE13"/>
    <mergeCell ref="BF13:BI13"/>
    <mergeCell ref="AF13:AF14"/>
    <mergeCell ref="AG13:AG14"/>
    <mergeCell ref="AM13:AP13"/>
    <mergeCell ref="AQ13:AT13"/>
    <mergeCell ref="AU13:AU14"/>
    <mergeCell ref="AH13:AH14"/>
    <mergeCell ref="AI13:AL13"/>
    <mergeCell ref="AV13:AV14"/>
    <mergeCell ref="A12:BM12"/>
    <mergeCell ref="A13:A14"/>
    <mergeCell ref="B13:B14"/>
    <mergeCell ref="C13:C14"/>
    <mergeCell ref="D13:D14"/>
    <mergeCell ref="E13:H13"/>
    <mergeCell ref="I13:L13"/>
    <mergeCell ref="M13:P13"/>
    <mergeCell ref="Q13:Q14"/>
    <mergeCell ref="R13:R14"/>
    <mergeCell ref="BM13:BM14"/>
    <mergeCell ref="AW13:AW14"/>
    <mergeCell ref="AX13:BA13"/>
    <mergeCell ref="BL13:BL14"/>
    <mergeCell ref="BK13:BK14"/>
    <mergeCell ref="BJ13:BJ14"/>
  </mergeCells>
  <printOptions horizontalCentered="1"/>
  <pageMargins left="0.12" right="0.1" top="0.85" bottom="0.1" header="0.3" footer="0.3"/>
  <pageSetup paperSize="8" scale="30"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8700BF-42FB-411B-A064-F7CDF223D705}">
  <sheetPr>
    <pageSetUpPr fitToPage="1"/>
  </sheetPr>
  <dimension ref="A3:BM55"/>
  <sheetViews>
    <sheetView tabSelected="1" view="pageBreakPreview" topLeftCell="A9" zoomScale="40" zoomScaleNormal="44" zoomScaleSheetLayoutView="40" workbookViewId="0">
      <selection activeCell="AF19" sqref="AF19"/>
    </sheetView>
  </sheetViews>
  <sheetFormatPr defaultRowHeight="15" x14ac:dyDescent="0.25"/>
  <cols>
    <col min="1" max="1" width="4.42578125" customWidth="1"/>
    <col min="2" max="2" width="16" customWidth="1"/>
    <col min="3" max="3" width="19.42578125" customWidth="1"/>
    <col min="4" max="4" width="46" customWidth="1"/>
    <col min="5" max="16" width="4.5703125" customWidth="1"/>
    <col min="17" max="17" width="16.5703125" customWidth="1"/>
    <col min="18" max="18" width="14.28515625" customWidth="1"/>
    <col min="19" max="19" width="68.42578125" customWidth="1"/>
    <col min="20" max="31" width="4.5703125" customWidth="1"/>
    <col min="32" max="32" width="16.85546875" customWidth="1"/>
    <col min="33" max="33" width="15.42578125" customWidth="1"/>
    <col min="34" max="34" width="45" customWidth="1"/>
    <col min="35" max="46" width="4.42578125" customWidth="1"/>
    <col min="47" max="47" width="18.28515625" customWidth="1"/>
    <col min="48" max="48" width="15" customWidth="1"/>
    <col min="49" max="49" width="32" customWidth="1"/>
    <col min="50" max="61" width="4.5703125" customWidth="1"/>
    <col min="62" max="62" width="21.28515625" bestFit="1" customWidth="1"/>
    <col min="63" max="63" width="14.5703125" customWidth="1"/>
    <col min="64" max="64" width="31.7109375" customWidth="1"/>
    <col min="65" max="65" width="18.7109375" customWidth="1"/>
  </cols>
  <sheetData>
    <row r="3" spans="1:65" x14ac:dyDescent="0.25">
      <c r="Q3" s="1"/>
      <c r="R3" s="1"/>
    </row>
    <row r="4" spans="1:65" x14ac:dyDescent="0.25">
      <c r="Q4" s="1"/>
      <c r="R4" s="1"/>
    </row>
    <row r="5" spans="1:65" x14ac:dyDescent="0.25">
      <c r="Q5" s="1"/>
      <c r="R5" s="1"/>
    </row>
    <row r="6" spans="1:65" x14ac:dyDescent="0.25">
      <c r="Q6" s="1"/>
      <c r="R6" s="1"/>
    </row>
    <row r="7" spans="1:65" x14ac:dyDescent="0.25">
      <c r="Q7" s="1"/>
      <c r="R7" s="1"/>
    </row>
    <row r="8" spans="1:65" x14ac:dyDescent="0.25">
      <c r="Q8" s="1"/>
      <c r="R8" s="1"/>
    </row>
    <row r="9" spans="1:65" x14ac:dyDescent="0.25">
      <c r="Q9" s="1"/>
      <c r="R9" s="1"/>
    </row>
    <row r="10" spans="1:65" ht="60.75" customHeight="1" x14ac:dyDescent="0.25">
      <c r="A10" s="322" t="s">
        <v>133</v>
      </c>
      <c r="B10" s="322"/>
      <c r="C10" s="322"/>
      <c r="D10" s="322"/>
      <c r="E10" s="322"/>
      <c r="F10" s="322"/>
      <c r="G10" s="322"/>
      <c r="H10" s="322"/>
      <c r="I10" s="322"/>
      <c r="J10" s="322"/>
      <c r="K10" s="322"/>
      <c r="L10" s="322"/>
      <c r="M10" s="322"/>
      <c r="N10" s="322"/>
      <c r="O10" s="322"/>
      <c r="P10" s="322"/>
      <c r="Q10" s="322"/>
      <c r="R10" s="322"/>
      <c r="S10" s="322"/>
      <c r="T10" s="322"/>
      <c r="U10" s="322"/>
      <c r="V10" s="322"/>
      <c r="W10" s="322"/>
      <c r="X10" s="322"/>
      <c r="Y10" s="322"/>
      <c r="Z10" s="322"/>
      <c r="AA10" s="322"/>
      <c r="AB10" s="322"/>
      <c r="AC10" s="322"/>
      <c r="AD10" s="322"/>
      <c r="AE10" s="322"/>
      <c r="AF10" s="322"/>
      <c r="AG10" s="322"/>
      <c r="AH10" s="322"/>
      <c r="AI10" s="322"/>
      <c r="AJ10" s="322"/>
      <c r="AK10" s="322"/>
      <c r="AL10" s="322"/>
      <c r="AM10" s="322"/>
      <c r="AN10" s="322"/>
      <c r="AO10" s="322"/>
      <c r="AP10" s="322"/>
      <c r="AQ10" s="322"/>
      <c r="AR10" s="322"/>
      <c r="AS10" s="322"/>
      <c r="AT10" s="322"/>
      <c r="AU10" s="322"/>
      <c r="AV10" s="322"/>
      <c r="AW10" s="322"/>
      <c r="AX10" s="322"/>
      <c r="AY10" s="322"/>
      <c r="AZ10" s="322"/>
      <c r="BA10" s="322"/>
      <c r="BB10" s="322"/>
      <c r="BC10" s="322"/>
      <c r="BD10" s="322"/>
      <c r="BE10" s="322"/>
      <c r="BF10" s="322"/>
      <c r="BG10" s="322"/>
      <c r="BH10" s="322"/>
      <c r="BI10" s="322"/>
      <c r="BJ10" s="322"/>
      <c r="BK10" s="322"/>
      <c r="BL10" s="322"/>
      <c r="BM10" s="322"/>
    </row>
    <row r="11" spans="1:65" s="161" customFormat="1" ht="87.75" customHeight="1" x14ac:dyDescent="0.35">
      <c r="A11" s="355" t="s">
        <v>68</v>
      </c>
      <c r="B11" s="356" t="s">
        <v>1</v>
      </c>
      <c r="C11" s="355" t="s">
        <v>95</v>
      </c>
      <c r="D11" s="357" t="s">
        <v>96</v>
      </c>
      <c r="E11" s="355" t="s">
        <v>97</v>
      </c>
      <c r="F11" s="355"/>
      <c r="G11" s="355"/>
      <c r="H11" s="355"/>
      <c r="I11" s="355" t="s">
        <v>98</v>
      </c>
      <c r="J11" s="355"/>
      <c r="K11" s="355"/>
      <c r="L11" s="355"/>
      <c r="M11" s="355" t="s">
        <v>99</v>
      </c>
      <c r="N11" s="355"/>
      <c r="O11" s="355"/>
      <c r="P11" s="355"/>
      <c r="Q11" s="351" t="s">
        <v>104</v>
      </c>
      <c r="R11" s="351" t="s">
        <v>105</v>
      </c>
      <c r="S11" s="353" t="s">
        <v>106</v>
      </c>
      <c r="T11" s="355" t="s">
        <v>108</v>
      </c>
      <c r="U11" s="355"/>
      <c r="V11" s="355"/>
      <c r="W11" s="355"/>
      <c r="X11" s="355" t="s">
        <v>109</v>
      </c>
      <c r="Y11" s="355"/>
      <c r="Z11" s="355"/>
      <c r="AA11" s="355"/>
      <c r="AB11" s="355" t="s">
        <v>110</v>
      </c>
      <c r="AC11" s="355"/>
      <c r="AD11" s="355"/>
      <c r="AE11" s="355"/>
      <c r="AF11" s="351" t="s">
        <v>104</v>
      </c>
      <c r="AG11" s="351" t="s">
        <v>105</v>
      </c>
      <c r="AH11" s="353" t="s">
        <v>106</v>
      </c>
      <c r="AI11" s="355" t="s">
        <v>115</v>
      </c>
      <c r="AJ11" s="355"/>
      <c r="AK11" s="355"/>
      <c r="AL11" s="355"/>
      <c r="AM11" s="355" t="s">
        <v>116</v>
      </c>
      <c r="AN11" s="355"/>
      <c r="AO11" s="355"/>
      <c r="AP11" s="355"/>
      <c r="AQ11" s="355" t="s">
        <v>117</v>
      </c>
      <c r="AR11" s="355"/>
      <c r="AS11" s="355"/>
      <c r="AT11" s="355"/>
      <c r="AU11" s="351" t="s">
        <v>104</v>
      </c>
      <c r="AV11" s="351" t="s">
        <v>105</v>
      </c>
      <c r="AW11" s="353" t="s">
        <v>106</v>
      </c>
      <c r="AX11" s="355" t="s">
        <v>118</v>
      </c>
      <c r="AY11" s="355"/>
      <c r="AZ11" s="355"/>
      <c r="BA11" s="355"/>
      <c r="BB11" s="355" t="s">
        <v>119</v>
      </c>
      <c r="BC11" s="355"/>
      <c r="BD11" s="355"/>
      <c r="BE11" s="355"/>
      <c r="BF11" s="355" t="s">
        <v>120</v>
      </c>
      <c r="BG11" s="355"/>
      <c r="BH11" s="355"/>
      <c r="BI11" s="355"/>
      <c r="BJ11" s="351" t="s">
        <v>104</v>
      </c>
      <c r="BK11" s="351" t="s">
        <v>105</v>
      </c>
      <c r="BL11" s="353" t="s">
        <v>106</v>
      </c>
      <c r="BM11" s="356" t="s">
        <v>107</v>
      </c>
    </row>
    <row r="12" spans="1:65" s="161" customFormat="1" ht="71.25" customHeight="1" x14ac:dyDescent="0.35">
      <c r="A12" s="355"/>
      <c r="B12" s="356"/>
      <c r="C12" s="355"/>
      <c r="D12" s="358"/>
      <c r="E12" s="164" t="s">
        <v>100</v>
      </c>
      <c r="F12" s="164" t="s">
        <v>101</v>
      </c>
      <c r="G12" s="164" t="s">
        <v>102</v>
      </c>
      <c r="H12" s="164" t="s">
        <v>103</v>
      </c>
      <c r="I12" s="164" t="s">
        <v>100</v>
      </c>
      <c r="J12" s="164" t="s">
        <v>101</v>
      </c>
      <c r="K12" s="164" t="s">
        <v>102</v>
      </c>
      <c r="L12" s="164" t="s">
        <v>103</v>
      </c>
      <c r="M12" s="164" t="s">
        <v>100</v>
      </c>
      <c r="N12" s="164" t="s">
        <v>101</v>
      </c>
      <c r="O12" s="164" t="s">
        <v>102</v>
      </c>
      <c r="P12" s="164" t="s">
        <v>103</v>
      </c>
      <c r="Q12" s="352"/>
      <c r="R12" s="352"/>
      <c r="S12" s="354"/>
      <c r="T12" s="164" t="s">
        <v>100</v>
      </c>
      <c r="U12" s="164" t="s">
        <v>101</v>
      </c>
      <c r="V12" s="164" t="s">
        <v>102</v>
      </c>
      <c r="W12" s="164" t="s">
        <v>103</v>
      </c>
      <c r="X12" s="164" t="s">
        <v>100</v>
      </c>
      <c r="Y12" s="164" t="s">
        <v>101</v>
      </c>
      <c r="Z12" s="164" t="s">
        <v>102</v>
      </c>
      <c r="AA12" s="164" t="s">
        <v>103</v>
      </c>
      <c r="AB12" s="164" t="s">
        <v>100</v>
      </c>
      <c r="AC12" s="164" t="s">
        <v>101</v>
      </c>
      <c r="AD12" s="164" t="s">
        <v>102</v>
      </c>
      <c r="AE12" s="164" t="s">
        <v>103</v>
      </c>
      <c r="AF12" s="352"/>
      <c r="AG12" s="352"/>
      <c r="AH12" s="354"/>
      <c r="AI12" s="164" t="s">
        <v>100</v>
      </c>
      <c r="AJ12" s="164" t="s">
        <v>101</v>
      </c>
      <c r="AK12" s="164" t="s">
        <v>102</v>
      </c>
      <c r="AL12" s="164" t="s">
        <v>103</v>
      </c>
      <c r="AM12" s="164" t="s">
        <v>100</v>
      </c>
      <c r="AN12" s="164" t="s">
        <v>101</v>
      </c>
      <c r="AO12" s="164" t="s">
        <v>102</v>
      </c>
      <c r="AP12" s="164" t="s">
        <v>103</v>
      </c>
      <c r="AQ12" s="164" t="s">
        <v>100</v>
      </c>
      <c r="AR12" s="164" t="s">
        <v>101</v>
      </c>
      <c r="AS12" s="164" t="s">
        <v>102</v>
      </c>
      <c r="AT12" s="164" t="s">
        <v>103</v>
      </c>
      <c r="AU12" s="352"/>
      <c r="AV12" s="352"/>
      <c r="AW12" s="354"/>
      <c r="AX12" s="164" t="s">
        <v>100</v>
      </c>
      <c r="AY12" s="164" t="s">
        <v>101</v>
      </c>
      <c r="AZ12" s="164" t="s">
        <v>102</v>
      </c>
      <c r="BA12" s="164" t="s">
        <v>103</v>
      </c>
      <c r="BB12" s="164" t="s">
        <v>100</v>
      </c>
      <c r="BC12" s="164" t="s">
        <v>101</v>
      </c>
      <c r="BD12" s="164" t="s">
        <v>102</v>
      </c>
      <c r="BE12" s="164" t="s">
        <v>103</v>
      </c>
      <c r="BF12" s="164" t="s">
        <v>100</v>
      </c>
      <c r="BG12" s="164" t="s">
        <v>101</v>
      </c>
      <c r="BH12" s="164" t="s">
        <v>102</v>
      </c>
      <c r="BI12" s="164" t="s">
        <v>103</v>
      </c>
      <c r="BJ12" s="352"/>
      <c r="BK12" s="352"/>
      <c r="BL12" s="354"/>
      <c r="BM12" s="356"/>
    </row>
    <row r="13" spans="1:65" s="177" customFormat="1" ht="204" customHeight="1" x14ac:dyDescent="0.35">
      <c r="A13" s="165">
        <v>1</v>
      </c>
      <c r="B13" s="166" t="s">
        <v>13</v>
      </c>
      <c r="C13" s="167" t="s">
        <v>121</v>
      </c>
      <c r="D13" s="168" t="s">
        <v>171</v>
      </c>
      <c r="E13" s="167"/>
      <c r="F13" s="167"/>
      <c r="G13" s="167"/>
      <c r="H13" s="169"/>
      <c r="I13" s="170"/>
      <c r="J13" s="171"/>
      <c r="K13" s="171"/>
      <c r="L13" s="171"/>
      <c r="M13" s="171"/>
      <c r="N13" s="171"/>
      <c r="O13" s="171"/>
      <c r="P13" s="171"/>
      <c r="Q13" s="172">
        <f>160/4</f>
        <v>40</v>
      </c>
      <c r="R13" s="173" t="s">
        <v>69</v>
      </c>
      <c r="S13" s="168" t="s">
        <v>156</v>
      </c>
      <c r="T13" s="167"/>
      <c r="U13" s="167"/>
      <c r="V13" s="169"/>
      <c r="W13" s="175"/>
      <c r="X13" s="175"/>
      <c r="Y13" s="171"/>
      <c r="Z13" s="171"/>
      <c r="AA13" s="171"/>
      <c r="AB13" s="171"/>
      <c r="AC13" s="171"/>
      <c r="AD13" s="171"/>
      <c r="AE13" s="171"/>
      <c r="AF13" s="172">
        <f>160/4</f>
        <v>40</v>
      </c>
      <c r="AG13" s="173" t="s">
        <v>69</v>
      </c>
      <c r="AH13" s="168" t="s">
        <v>156</v>
      </c>
      <c r="AI13" s="167"/>
      <c r="AJ13" s="167"/>
      <c r="AK13" s="169"/>
      <c r="AL13" s="171"/>
      <c r="AM13" s="170"/>
      <c r="AN13" s="171"/>
      <c r="AO13" s="171"/>
      <c r="AP13" s="171"/>
      <c r="AQ13" s="171"/>
      <c r="AR13" s="171"/>
      <c r="AS13" s="171"/>
      <c r="AT13" s="171"/>
      <c r="AU13" s="172">
        <f>160/4</f>
        <v>40</v>
      </c>
      <c r="AV13" s="173" t="s">
        <v>69</v>
      </c>
      <c r="AW13" s="168" t="s">
        <v>156</v>
      </c>
      <c r="AX13" s="167"/>
      <c r="AY13" s="167"/>
      <c r="AZ13" s="171"/>
      <c r="BA13" s="169"/>
      <c r="BB13" s="171"/>
      <c r="BC13" s="171"/>
      <c r="BD13" s="171"/>
      <c r="BE13" s="171"/>
      <c r="BF13" s="171"/>
      <c r="BG13" s="171"/>
      <c r="BH13" s="171"/>
      <c r="BI13" s="171"/>
      <c r="BJ13" s="172">
        <f>160/4</f>
        <v>40</v>
      </c>
      <c r="BK13" s="173" t="s">
        <v>69</v>
      </c>
      <c r="BL13" s="168" t="s">
        <v>156</v>
      </c>
      <c r="BM13" s="176">
        <f>BJ13+AU13+AF13+Q13</f>
        <v>160</v>
      </c>
    </row>
    <row r="14" spans="1:65" s="177" customFormat="1" ht="156" customHeight="1" x14ac:dyDescent="0.35">
      <c r="A14" s="165">
        <f>A13+1</f>
        <v>2</v>
      </c>
      <c r="B14" s="166" t="s">
        <v>13</v>
      </c>
      <c r="C14" s="167" t="s">
        <v>122</v>
      </c>
      <c r="D14" s="168" t="s">
        <v>172</v>
      </c>
      <c r="E14" s="167"/>
      <c r="F14" s="167"/>
      <c r="G14" s="167"/>
      <c r="H14" s="171"/>
      <c r="I14" s="178"/>
      <c r="J14" s="170"/>
      <c r="K14" s="171"/>
      <c r="L14" s="171"/>
      <c r="M14" s="171"/>
      <c r="N14" s="171"/>
      <c r="O14" s="171"/>
      <c r="P14" s="171"/>
      <c r="Q14" s="172">
        <f>480/4</f>
        <v>120</v>
      </c>
      <c r="R14" s="173" t="s">
        <v>69</v>
      </c>
      <c r="S14" s="168" t="s">
        <v>172</v>
      </c>
      <c r="T14" s="167"/>
      <c r="U14" s="167"/>
      <c r="V14" s="167"/>
      <c r="W14" s="179"/>
      <c r="X14" s="175"/>
      <c r="Y14" s="175"/>
      <c r="Z14" s="171"/>
      <c r="AA14" s="171"/>
      <c r="AB14" s="171"/>
      <c r="AC14" s="171"/>
      <c r="AD14" s="171"/>
      <c r="AE14" s="171"/>
      <c r="AF14" s="172">
        <f>480/4</f>
        <v>120</v>
      </c>
      <c r="AG14" s="173" t="s">
        <v>69</v>
      </c>
      <c r="AH14" s="168" t="s">
        <v>172</v>
      </c>
      <c r="AI14" s="167"/>
      <c r="AJ14" s="167"/>
      <c r="AK14" s="167"/>
      <c r="AL14" s="178"/>
      <c r="AM14" s="171"/>
      <c r="AN14" s="170"/>
      <c r="AO14" s="171"/>
      <c r="AP14" s="171"/>
      <c r="AQ14" s="171"/>
      <c r="AR14" s="171"/>
      <c r="AS14" s="171"/>
      <c r="AT14" s="171"/>
      <c r="AU14" s="172">
        <f>480/4</f>
        <v>120</v>
      </c>
      <c r="AV14" s="173" t="s">
        <v>69</v>
      </c>
      <c r="AW14" s="168" t="s">
        <v>172</v>
      </c>
      <c r="AX14" s="167"/>
      <c r="AY14" s="167"/>
      <c r="AZ14" s="171"/>
      <c r="BA14" s="171"/>
      <c r="BB14" s="178"/>
      <c r="BC14" s="171"/>
      <c r="BD14" s="171"/>
      <c r="BE14" s="171"/>
      <c r="BF14" s="171"/>
      <c r="BG14" s="171"/>
      <c r="BH14" s="171"/>
      <c r="BI14" s="171"/>
      <c r="BJ14" s="172">
        <f>480/4</f>
        <v>120</v>
      </c>
      <c r="BK14" s="173" t="s">
        <v>69</v>
      </c>
      <c r="BL14" s="168" t="s">
        <v>172</v>
      </c>
      <c r="BM14" s="176">
        <f>BJ14+AU14+AF14+Q14</f>
        <v>480</v>
      </c>
    </row>
    <row r="15" spans="1:65" s="177" customFormat="1" ht="135.75" customHeight="1" x14ac:dyDescent="0.35">
      <c r="A15" s="165">
        <f>A14+1</f>
        <v>3</v>
      </c>
      <c r="B15" s="166" t="s">
        <v>13</v>
      </c>
      <c r="C15" s="167" t="s">
        <v>123</v>
      </c>
      <c r="D15" s="168" t="s">
        <v>173</v>
      </c>
      <c r="F15" s="168"/>
      <c r="G15" s="167"/>
      <c r="H15" s="167"/>
      <c r="I15" s="167"/>
      <c r="J15" s="180"/>
      <c r="K15" s="170"/>
      <c r="L15" s="167"/>
      <c r="M15" s="167"/>
      <c r="N15" s="167"/>
      <c r="O15" s="167"/>
      <c r="P15" s="167"/>
      <c r="Q15" s="172">
        <f>1598/4</f>
        <v>399.5</v>
      </c>
      <c r="R15" s="173" t="s">
        <v>69</v>
      </c>
      <c r="S15" s="168" t="s">
        <v>174</v>
      </c>
      <c r="T15" s="167"/>
      <c r="U15" s="167"/>
      <c r="V15" s="167"/>
      <c r="W15" s="167"/>
      <c r="X15" s="181"/>
      <c r="Y15" s="175"/>
      <c r="Z15" s="175"/>
      <c r="AA15" s="167"/>
      <c r="AB15" s="167"/>
      <c r="AC15" s="167"/>
      <c r="AD15" s="167"/>
      <c r="AE15" s="167"/>
      <c r="AF15" s="172">
        <f>1598/4</f>
        <v>399.5</v>
      </c>
      <c r="AG15" s="173" t="s">
        <v>69</v>
      </c>
      <c r="AH15" s="168" t="s">
        <v>174</v>
      </c>
      <c r="AI15" s="167"/>
      <c r="AJ15" s="167"/>
      <c r="AK15" s="167"/>
      <c r="AL15" s="167"/>
      <c r="AM15" s="180" t="s">
        <v>93</v>
      </c>
      <c r="AN15" s="171"/>
      <c r="AO15" s="170"/>
      <c r="AP15" s="167"/>
      <c r="AQ15" s="167"/>
      <c r="AR15" s="167"/>
      <c r="AS15" s="167"/>
      <c r="AT15" s="167"/>
      <c r="AU15" s="172">
        <f>1598/4</f>
        <v>399.5</v>
      </c>
      <c r="AV15" s="173" t="s">
        <v>69</v>
      </c>
      <c r="AW15" s="168" t="s">
        <v>174</v>
      </c>
      <c r="AX15" s="167"/>
      <c r="AY15" s="167"/>
      <c r="AZ15" s="167"/>
      <c r="BA15" s="165"/>
      <c r="BB15" s="171"/>
      <c r="BC15" s="180"/>
      <c r="BD15" s="167"/>
      <c r="BE15" s="167"/>
      <c r="BF15" s="167"/>
      <c r="BG15" s="167"/>
      <c r="BH15" s="167"/>
      <c r="BI15" s="167"/>
      <c r="BJ15" s="172">
        <f>1598/4</f>
        <v>399.5</v>
      </c>
      <c r="BK15" s="173" t="s">
        <v>69</v>
      </c>
      <c r="BL15" s="168" t="s">
        <v>174</v>
      </c>
      <c r="BM15" s="176">
        <f>Q15+AF15+AU15+BJ15</f>
        <v>1598</v>
      </c>
    </row>
    <row r="16" spans="1:65" s="177" customFormat="1" ht="78.75" customHeight="1" x14ac:dyDescent="0.35">
      <c r="A16" s="165">
        <f>A15+1</f>
        <v>4</v>
      </c>
      <c r="B16" s="166" t="s">
        <v>13</v>
      </c>
      <c r="C16" s="167" t="s">
        <v>134</v>
      </c>
      <c r="D16" s="168" t="s">
        <v>173</v>
      </c>
      <c r="E16" s="167"/>
      <c r="F16" s="167"/>
      <c r="G16" s="167"/>
      <c r="H16" s="167"/>
      <c r="I16" s="167"/>
      <c r="J16" s="182"/>
      <c r="K16" s="170"/>
      <c r="L16" s="167"/>
      <c r="M16" s="167"/>
      <c r="N16" s="167"/>
      <c r="O16" s="167"/>
      <c r="P16" s="167"/>
      <c r="Q16" s="172">
        <f>240/4</f>
        <v>60</v>
      </c>
      <c r="R16" s="173" t="s">
        <v>69</v>
      </c>
      <c r="S16" s="168" t="s">
        <v>175</v>
      </c>
      <c r="T16" s="167"/>
      <c r="U16" s="167"/>
      <c r="V16" s="167"/>
      <c r="W16" s="167"/>
      <c r="X16" s="183"/>
      <c r="Y16" s="175"/>
      <c r="Z16" s="175"/>
      <c r="AA16" s="184"/>
      <c r="AB16" s="185"/>
      <c r="AC16" s="167"/>
      <c r="AD16" s="167"/>
      <c r="AE16" s="167"/>
      <c r="AF16" s="172">
        <f>240/4</f>
        <v>60</v>
      </c>
      <c r="AG16" s="173" t="s">
        <v>69</v>
      </c>
      <c r="AH16" s="168" t="s">
        <v>175</v>
      </c>
      <c r="AI16" s="167"/>
      <c r="AJ16" s="167"/>
      <c r="AK16" s="167"/>
      <c r="AL16" s="167"/>
      <c r="AM16" s="182"/>
      <c r="AN16" s="171"/>
      <c r="AO16" s="170"/>
      <c r="AP16" s="167"/>
      <c r="AQ16" s="167"/>
      <c r="AR16" s="167"/>
      <c r="AS16" s="167"/>
      <c r="AT16" s="167"/>
      <c r="AU16" s="172">
        <f>240/4</f>
        <v>60</v>
      </c>
      <c r="AV16" s="173" t="s">
        <v>69</v>
      </c>
      <c r="AW16" s="168" t="s">
        <v>175</v>
      </c>
      <c r="AX16" s="167"/>
      <c r="AY16" s="167"/>
      <c r="AZ16" s="167"/>
      <c r="BA16" s="165"/>
      <c r="BB16" s="171"/>
      <c r="BC16" s="182"/>
      <c r="BD16" s="167"/>
      <c r="BE16" s="167"/>
      <c r="BF16" s="167"/>
      <c r="BG16" s="167"/>
      <c r="BH16" s="167"/>
      <c r="BI16" s="167"/>
      <c r="BJ16" s="172">
        <f>240/4</f>
        <v>60</v>
      </c>
      <c r="BK16" s="173" t="s">
        <v>69</v>
      </c>
      <c r="BL16" s="168" t="s">
        <v>175</v>
      </c>
      <c r="BM16" s="176">
        <f>Q16+AF16+AU16+BJ16</f>
        <v>240</v>
      </c>
    </row>
    <row r="17" spans="1:65" s="177" customFormat="1" ht="259.5" customHeight="1" x14ac:dyDescent="0.35">
      <c r="A17" s="165">
        <f>A16+1</f>
        <v>5</v>
      </c>
      <c r="B17" s="166" t="s">
        <v>13</v>
      </c>
      <c r="C17" s="167" t="s">
        <v>124</v>
      </c>
      <c r="D17" s="168" t="s">
        <v>177</v>
      </c>
      <c r="E17" s="167"/>
      <c r="F17" s="167"/>
      <c r="G17" s="167"/>
      <c r="H17" s="167"/>
      <c r="I17" s="167"/>
      <c r="J17" s="167"/>
      <c r="K17" s="186"/>
      <c r="L17" s="186"/>
      <c r="M17" s="167"/>
      <c r="N17" s="167"/>
      <c r="O17" s="167"/>
      <c r="P17" s="167"/>
      <c r="Q17" s="172">
        <f>13600/4</f>
        <v>3400</v>
      </c>
      <c r="R17" s="173" t="s">
        <v>69</v>
      </c>
      <c r="S17" s="168" t="s">
        <v>299</v>
      </c>
      <c r="T17" s="167"/>
      <c r="U17" s="167"/>
      <c r="V17" s="167"/>
      <c r="W17" s="167"/>
      <c r="X17" s="165"/>
      <c r="Y17" s="186"/>
      <c r="Z17" s="186"/>
      <c r="AA17" s="170"/>
      <c r="AB17" s="185"/>
      <c r="AC17" s="167"/>
      <c r="AD17" s="167"/>
      <c r="AE17" s="167"/>
      <c r="AF17" s="172">
        <f>13600/4</f>
        <v>3400</v>
      </c>
      <c r="AG17" s="173" t="s">
        <v>69</v>
      </c>
      <c r="AH17" s="168" t="s">
        <v>176</v>
      </c>
      <c r="AI17" s="167"/>
      <c r="AJ17" s="167"/>
      <c r="AK17" s="167"/>
      <c r="AL17" s="167"/>
      <c r="AM17" s="165"/>
      <c r="AN17" s="186"/>
      <c r="AO17" s="186"/>
      <c r="AP17" s="170"/>
      <c r="AQ17" s="185"/>
      <c r="AR17" s="167"/>
      <c r="AS17" s="167"/>
      <c r="AT17" s="167"/>
      <c r="AU17" s="172">
        <f>13600/4</f>
        <v>3400</v>
      </c>
      <c r="AV17" s="173" t="s">
        <v>69</v>
      </c>
      <c r="AW17" s="168" t="s">
        <v>176</v>
      </c>
      <c r="AX17" s="167"/>
      <c r="AY17" s="167"/>
      <c r="AZ17" s="167"/>
      <c r="BA17" s="165"/>
      <c r="BB17" s="167"/>
      <c r="BC17" s="186"/>
      <c r="BD17" s="186"/>
      <c r="BE17" s="167"/>
      <c r="BF17" s="167"/>
      <c r="BG17" s="167"/>
      <c r="BH17" s="167"/>
      <c r="BI17" s="167"/>
      <c r="BJ17" s="172">
        <f>13600/4</f>
        <v>3400</v>
      </c>
      <c r="BK17" s="173" t="s">
        <v>69</v>
      </c>
      <c r="BL17" s="168" t="s">
        <v>176</v>
      </c>
      <c r="BM17" s="176">
        <f>Q17+AF17+AU17+BJ17</f>
        <v>13600</v>
      </c>
    </row>
    <row r="18" spans="1:65" s="177" customFormat="1" ht="99" customHeight="1" x14ac:dyDescent="0.35">
      <c r="A18" s="165">
        <f t="shared" ref="A18:A21" si="0">A17+1</f>
        <v>6</v>
      </c>
      <c r="B18" s="166" t="s">
        <v>13</v>
      </c>
      <c r="C18" s="167" t="s">
        <v>125</v>
      </c>
      <c r="D18" s="168" t="s">
        <v>178</v>
      </c>
      <c r="F18" s="167"/>
      <c r="G18" s="167"/>
      <c r="H18" s="167"/>
      <c r="I18" s="167"/>
      <c r="J18" s="167"/>
      <c r="K18" s="167"/>
      <c r="L18" s="187"/>
      <c r="M18" s="170"/>
      <c r="N18" s="167"/>
      <c r="O18" s="167"/>
      <c r="P18" s="167"/>
      <c r="Q18" s="172">
        <f>206/4</f>
        <v>51.5</v>
      </c>
      <c r="R18" s="173" t="s">
        <v>69</v>
      </c>
      <c r="S18" s="168" t="s">
        <v>154</v>
      </c>
      <c r="T18" s="167"/>
      <c r="U18" s="167"/>
      <c r="V18" s="167"/>
      <c r="W18" s="167"/>
      <c r="X18" s="165"/>
      <c r="Y18" s="167"/>
      <c r="Z18" s="187"/>
      <c r="AA18" s="175"/>
      <c r="AB18" s="175"/>
      <c r="AC18" s="167"/>
      <c r="AD18" s="167"/>
      <c r="AE18" s="167"/>
      <c r="AF18" s="172">
        <f>206/4</f>
        <v>51.5</v>
      </c>
      <c r="AG18" s="173" t="s">
        <v>69</v>
      </c>
      <c r="AH18" s="168" t="s">
        <v>154</v>
      </c>
      <c r="AI18" s="167"/>
      <c r="AJ18" s="167"/>
      <c r="AK18" s="167"/>
      <c r="AL18" s="167"/>
      <c r="AM18" s="165"/>
      <c r="AN18" s="167"/>
      <c r="AO18" s="187"/>
      <c r="AP18" s="175"/>
      <c r="AQ18" s="175"/>
      <c r="AR18" s="167"/>
      <c r="AS18" s="167"/>
      <c r="AT18" s="167"/>
      <c r="AU18" s="172">
        <f>206/4</f>
        <v>51.5</v>
      </c>
      <c r="AV18" s="173" t="s">
        <v>69</v>
      </c>
      <c r="AW18" s="174" t="s">
        <v>180</v>
      </c>
      <c r="AX18" s="167"/>
      <c r="AY18" s="167"/>
      <c r="AZ18" s="167"/>
      <c r="BA18" s="165"/>
      <c r="BB18" s="167"/>
      <c r="BC18" s="167"/>
      <c r="BD18" s="187"/>
      <c r="BE18" s="170"/>
      <c r="BF18" s="167"/>
      <c r="BG18" s="167"/>
      <c r="BH18" s="167"/>
      <c r="BI18" s="167"/>
      <c r="BJ18" s="172">
        <f>206/4</f>
        <v>51.5</v>
      </c>
      <c r="BK18" s="173" t="s">
        <v>69</v>
      </c>
      <c r="BL18" s="174" t="s">
        <v>180</v>
      </c>
      <c r="BM18" s="176">
        <f>Q18+AF18+AU18+BJ18</f>
        <v>206</v>
      </c>
    </row>
    <row r="19" spans="1:65" s="177" customFormat="1" ht="106.5" customHeight="1" x14ac:dyDescent="0.35">
      <c r="A19" s="188">
        <f t="shared" si="0"/>
        <v>7</v>
      </c>
      <c r="B19" s="166" t="s">
        <v>13</v>
      </c>
      <c r="C19" s="167" t="s">
        <v>126</v>
      </c>
      <c r="D19" s="189" t="s">
        <v>179</v>
      </c>
      <c r="E19" s="167"/>
      <c r="F19" s="167"/>
      <c r="G19" s="167"/>
      <c r="H19" s="167"/>
      <c r="I19" s="167"/>
      <c r="J19" s="167"/>
      <c r="K19" s="167"/>
      <c r="L19" s="171"/>
      <c r="M19" s="190"/>
      <c r="N19" s="170"/>
      <c r="O19" s="167"/>
      <c r="P19" s="167"/>
      <c r="Q19" s="172">
        <f>121/4</f>
        <v>30.25</v>
      </c>
      <c r="R19" s="173" t="s">
        <v>69</v>
      </c>
      <c r="S19" s="174" t="s">
        <v>180</v>
      </c>
      <c r="T19" s="167"/>
      <c r="U19" s="167"/>
      <c r="V19" s="167"/>
      <c r="W19" s="167"/>
      <c r="X19" s="165"/>
      <c r="Y19" s="167"/>
      <c r="Z19" s="167"/>
      <c r="AA19" s="191"/>
      <c r="AB19" s="175"/>
      <c r="AC19" s="175"/>
      <c r="AD19" s="167"/>
      <c r="AE19" s="167"/>
      <c r="AF19" s="172">
        <f>121/4</f>
        <v>30.25</v>
      </c>
      <c r="AG19" s="173" t="s">
        <v>69</v>
      </c>
      <c r="AH19" s="174" t="s">
        <v>180</v>
      </c>
      <c r="AI19" s="167"/>
      <c r="AJ19" s="167"/>
      <c r="AK19" s="167"/>
      <c r="AL19" s="167"/>
      <c r="AM19" s="165"/>
      <c r="AN19" s="167"/>
      <c r="AO19" s="167"/>
      <c r="AP19" s="191"/>
      <c r="AQ19" s="175"/>
      <c r="AR19" s="167"/>
      <c r="AS19" s="167"/>
      <c r="AT19" s="167"/>
      <c r="AU19" s="172">
        <f>121/4</f>
        <v>30.25</v>
      </c>
      <c r="AV19" s="173" t="s">
        <v>69</v>
      </c>
      <c r="AW19" s="174" t="s">
        <v>127</v>
      </c>
      <c r="AX19" s="167"/>
      <c r="AY19" s="167"/>
      <c r="AZ19" s="167"/>
      <c r="BA19" s="165"/>
      <c r="BB19" s="167"/>
      <c r="BC19" s="167"/>
      <c r="BD19" s="171"/>
      <c r="BE19" s="190"/>
      <c r="BF19" s="167"/>
      <c r="BG19" s="167"/>
      <c r="BH19" s="167"/>
      <c r="BI19" s="167"/>
      <c r="BJ19" s="172">
        <f>121/4</f>
        <v>30.25</v>
      </c>
      <c r="BK19" s="173" t="s">
        <v>69</v>
      </c>
      <c r="BL19" s="174" t="s">
        <v>127</v>
      </c>
      <c r="BM19" s="176">
        <f t="shared" ref="BM19:BM21" si="1">Q19+AF19+AU19+BJ19</f>
        <v>121</v>
      </c>
    </row>
    <row r="20" spans="1:65" s="177" customFormat="1" ht="114.75" customHeight="1" x14ac:dyDescent="0.35">
      <c r="A20" s="188">
        <f t="shared" si="0"/>
        <v>8</v>
      </c>
      <c r="B20" s="166" t="s">
        <v>13</v>
      </c>
      <c r="C20" s="167" t="s">
        <v>128</v>
      </c>
      <c r="D20" s="189" t="s">
        <v>179</v>
      </c>
      <c r="E20" s="167"/>
      <c r="F20" s="167"/>
      <c r="G20" s="167"/>
      <c r="H20" s="167"/>
      <c r="I20" s="167"/>
      <c r="J20" s="167"/>
      <c r="K20" s="167"/>
      <c r="L20" s="171"/>
      <c r="M20" s="192"/>
      <c r="N20" s="170"/>
      <c r="O20" s="167"/>
      <c r="P20" s="167"/>
      <c r="Q20" s="172">
        <f>123/4</f>
        <v>30.75</v>
      </c>
      <c r="R20" s="173" t="s">
        <v>69</v>
      </c>
      <c r="S20" s="174" t="s">
        <v>129</v>
      </c>
      <c r="T20" s="167"/>
      <c r="U20" s="167"/>
      <c r="V20" s="167"/>
      <c r="W20" s="167"/>
      <c r="X20" s="165"/>
      <c r="Y20" s="167"/>
      <c r="Z20" s="167"/>
      <c r="AA20" s="192"/>
      <c r="AB20" s="175"/>
      <c r="AC20" s="175"/>
      <c r="AD20" s="167"/>
      <c r="AE20" s="167"/>
      <c r="AF20" s="172">
        <f>123/4</f>
        <v>30.75</v>
      </c>
      <c r="AG20" s="173" t="s">
        <v>69</v>
      </c>
      <c r="AH20" s="174" t="s">
        <v>129</v>
      </c>
      <c r="AI20" s="167"/>
      <c r="AJ20" s="167"/>
      <c r="AK20" s="167"/>
      <c r="AL20" s="167"/>
      <c r="AM20" s="165"/>
      <c r="AN20" s="167"/>
      <c r="AO20" s="167"/>
      <c r="AP20" s="192"/>
      <c r="AQ20" s="170"/>
      <c r="AR20" s="167"/>
      <c r="AS20" s="167"/>
      <c r="AT20" s="167"/>
      <c r="AU20" s="172">
        <f>123/4</f>
        <v>30.75</v>
      </c>
      <c r="AV20" s="173" t="s">
        <v>69</v>
      </c>
      <c r="AW20" s="174" t="s">
        <v>129</v>
      </c>
      <c r="AX20" s="167"/>
      <c r="AY20" s="167"/>
      <c r="AZ20" s="167"/>
      <c r="BA20" s="165"/>
      <c r="BB20" s="167"/>
      <c r="BC20" s="167"/>
      <c r="BD20" s="171"/>
      <c r="BE20" s="192"/>
      <c r="BF20" s="167"/>
      <c r="BG20" s="167"/>
      <c r="BH20" s="167"/>
      <c r="BI20" s="167"/>
      <c r="BJ20" s="172">
        <f>123/4</f>
        <v>30.75</v>
      </c>
      <c r="BK20" s="173" t="s">
        <v>69</v>
      </c>
      <c r="BL20" s="174" t="s">
        <v>129</v>
      </c>
      <c r="BM20" s="176">
        <f t="shared" si="1"/>
        <v>123</v>
      </c>
    </row>
    <row r="21" spans="1:65" s="177" customFormat="1" ht="141" customHeight="1" x14ac:dyDescent="0.35">
      <c r="A21" s="188">
        <f t="shared" si="0"/>
        <v>9</v>
      </c>
      <c r="B21" s="166" t="s">
        <v>13</v>
      </c>
      <c r="C21" s="167" t="s">
        <v>130</v>
      </c>
      <c r="D21" s="168" t="s">
        <v>181</v>
      </c>
      <c r="F21" s="167"/>
      <c r="G21" s="167"/>
      <c r="H21" s="167"/>
      <c r="I21" s="167"/>
      <c r="J21" s="167"/>
      <c r="K21" s="167"/>
      <c r="L21" s="171"/>
      <c r="M21" s="170"/>
      <c r="N21" s="193"/>
      <c r="O21" s="167"/>
      <c r="P21" s="167"/>
      <c r="Q21" s="172">
        <f>2000/4</f>
        <v>500</v>
      </c>
      <c r="R21" s="173" t="s">
        <v>69</v>
      </c>
      <c r="S21" s="168" t="s">
        <v>155</v>
      </c>
      <c r="T21" s="167"/>
      <c r="U21" s="167"/>
      <c r="V21" s="167"/>
      <c r="W21" s="167"/>
      <c r="X21" s="165"/>
      <c r="Y21" s="167"/>
      <c r="Z21" s="167"/>
      <c r="AA21" s="170"/>
      <c r="AB21" s="194"/>
      <c r="AC21" s="170"/>
      <c r="AD21" s="167"/>
      <c r="AE21" s="167"/>
      <c r="AF21" s="172">
        <f>2000/4</f>
        <v>500</v>
      </c>
      <c r="AG21" s="173" t="s">
        <v>69</v>
      </c>
      <c r="AH21" s="168" t="s">
        <v>155</v>
      </c>
      <c r="AI21" s="167"/>
      <c r="AJ21" s="167"/>
      <c r="AK21" s="167"/>
      <c r="AL21" s="167"/>
      <c r="AM21" s="165"/>
      <c r="AN21" s="167"/>
      <c r="AO21" s="167"/>
      <c r="AP21" s="171"/>
      <c r="AQ21" s="193"/>
      <c r="AR21" s="170"/>
      <c r="AS21" s="167"/>
      <c r="AT21" s="167"/>
      <c r="AU21" s="172">
        <f>2000/4</f>
        <v>500</v>
      </c>
      <c r="AV21" s="173" t="s">
        <v>69</v>
      </c>
      <c r="AW21" s="168" t="s">
        <v>155</v>
      </c>
      <c r="AX21" s="167"/>
      <c r="AY21" s="167"/>
      <c r="AZ21" s="167"/>
      <c r="BA21" s="165"/>
      <c r="BB21" s="167"/>
      <c r="BC21" s="167"/>
      <c r="BD21" s="171"/>
      <c r="BE21" s="170"/>
      <c r="BF21" s="195"/>
      <c r="BG21" s="167"/>
      <c r="BH21" s="167"/>
      <c r="BI21" s="167"/>
      <c r="BJ21" s="172">
        <f>2000/4</f>
        <v>500</v>
      </c>
      <c r="BK21" s="173" t="s">
        <v>69</v>
      </c>
      <c r="BL21" s="168" t="s">
        <v>155</v>
      </c>
      <c r="BM21" s="176">
        <f t="shared" si="1"/>
        <v>2000</v>
      </c>
    </row>
    <row r="22" spans="1:65" s="177" customFormat="1" ht="185.25" customHeight="1" x14ac:dyDescent="0.35">
      <c r="A22" s="188">
        <f>A21+1</f>
        <v>10</v>
      </c>
      <c r="B22" s="166" t="s">
        <v>13</v>
      </c>
      <c r="C22" s="167" t="s">
        <v>135</v>
      </c>
      <c r="D22" s="196" t="s">
        <v>182</v>
      </c>
      <c r="F22" s="167"/>
      <c r="G22" s="167"/>
      <c r="H22" s="167"/>
      <c r="I22" s="167"/>
      <c r="J22" s="167"/>
      <c r="K22" s="167"/>
      <c r="L22" s="171"/>
      <c r="M22" s="170"/>
      <c r="N22" s="197"/>
      <c r="O22" s="167"/>
      <c r="P22" s="167"/>
      <c r="Q22" s="172">
        <f>7640/4</f>
        <v>1910</v>
      </c>
      <c r="R22" s="173" t="s">
        <v>69</v>
      </c>
      <c r="S22" s="196" t="s">
        <v>183</v>
      </c>
      <c r="T22" s="167"/>
      <c r="U22" s="167"/>
      <c r="V22" s="167"/>
      <c r="W22" s="167"/>
      <c r="X22" s="165"/>
      <c r="Y22" s="167"/>
      <c r="Z22" s="167"/>
      <c r="AA22" s="171"/>
      <c r="AB22" s="170"/>
      <c r="AC22" s="197"/>
      <c r="AD22" s="167"/>
      <c r="AE22" s="167"/>
      <c r="AF22" s="172">
        <f>7640/4</f>
        <v>1910</v>
      </c>
      <c r="AG22" s="173" t="s">
        <v>69</v>
      </c>
      <c r="AH22" s="196" t="s">
        <v>183</v>
      </c>
      <c r="AI22" s="167"/>
      <c r="AJ22" s="167"/>
      <c r="AK22" s="167"/>
      <c r="AL22" s="167"/>
      <c r="AM22" s="165"/>
      <c r="AN22" s="167"/>
      <c r="AO22" s="167"/>
      <c r="AP22" s="171"/>
      <c r="AQ22" s="170"/>
      <c r="AR22" s="197"/>
      <c r="AS22" s="167"/>
      <c r="AT22" s="167"/>
      <c r="AU22" s="172">
        <f>7640/4</f>
        <v>1910</v>
      </c>
      <c r="AV22" s="173" t="s">
        <v>69</v>
      </c>
      <c r="AW22" s="196" t="s">
        <v>183</v>
      </c>
      <c r="AX22" s="167"/>
      <c r="AY22" s="167"/>
      <c r="AZ22" s="167"/>
      <c r="BA22" s="165"/>
      <c r="BB22" s="167"/>
      <c r="BC22" s="167"/>
      <c r="BD22" s="171"/>
      <c r="BE22" s="175"/>
      <c r="BF22" s="175"/>
      <c r="BG22" s="198"/>
      <c r="BH22" s="167"/>
      <c r="BI22" s="167"/>
      <c r="BJ22" s="172">
        <f>7640/4</f>
        <v>1910</v>
      </c>
      <c r="BK22" s="173" t="s">
        <v>69</v>
      </c>
      <c r="BL22" s="196" t="s">
        <v>183</v>
      </c>
      <c r="BM22" s="176">
        <f>Q22+AF22+AU22+BJ22</f>
        <v>7640</v>
      </c>
    </row>
    <row r="23" spans="1:65" s="177" customFormat="1" ht="160.5" customHeight="1" x14ac:dyDescent="0.35">
      <c r="A23" s="199">
        <f>A22+1</f>
        <v>11</v>
      </c>
      <c r="B23" s="200" t="s">
        <v>13</v>
      </c>
      <c r="C23" s="200" t="s">
        <v>131</v>
      </c>
      <c r="D23" s="168" t="s">
        <v>184</v>
      </c>
      <c r="F23" s="167"/>
      <c r="G23" s="167"/>
      <c r="H23" s="167"/>
      <c r="I23" s="167"/>
      <c r="J23" s="167"/>
      <c r="K23" s="167"/>
      <c r="L23" s="167"/>
      <c r="M23" s="171"/>
      <c r="N23" s="175"/>
      <c r="O23" s="201"/>
      <c r="P23" s="201"/>
      <c r="Q23" s="202">
        <f>1200/4</f>
        <v>300</v>
      </c>
      <c r="R23" s="203" t="s">
        <v>69</v>
      </c>
      <c r="S23" s="168" t="s">
        <v>185</v>
      </c>
      <c r="T23" s="167"/>
      <c r="U23" s="167"/>
      <c r="V23" s="167"/>
      <c r="W23" s="167"/>
      <c r="X23" s="165"/>
      <c r="Y23" s="167"/>
      <c r="Z23" s="167"/>
      <c r="AA23" s="167"/>
      <c r="AB23" s="171"/>
      <c r="AC23" s="175"/>
      <c r="AD23" s="201"/>
      <c r="AE23" s="201"/>
      <c r="AF23" s="202">
        <f>1200/4</f>
        <v>300</v>
      </c>
      <c r="AG23" s="203" t="s">
        <v>69</v>
      </c>
      <c r="AH23" s="168" t="s">
        <v>185</v>
      </c>
      <c r="AI23" s="167"/>
      <c r="AJ23" s="167"/>
      <c r="AK23" s="167"/>
      <c r="AL23" s="167"/>
      <c r="AM23" s="165"/>
      <c r="AN23" s="167"/>
      <c r="AO23" s="167"/>
      <c r="AP23" s="167"/>
      <c r="AQ23" s="171"/>
      <c r="AR23" s="175"/>
      <c r="AS23" s="201"/>
      <c r="AT23" s="201"/>
      <c r="AU23" s="202">
        <f>1200/4</f>
        <v>300</v>
      </c>
      <c r="AV23" s="203" t="s">
        <v>69</v>
      </c>
      <c r="AW23" s="168" t="s">
        <v>185</v>
      </c>
      <c r="AX23" s="167"/>
      <c r="AY23" s="167"/>
      <c r="AZ23" s="167"/>
      <c r="BA23" s="165"/>
      <c r="BB23" s="167"/>
      <c r="BC23" s="167"/>
      <c r="BD23" s="167"/>
      <c r="BE23" s="171"/>
      <c r="BF23" s="175"/>
      <c r="BG23" s="175"/>
      <c r="BH23" s="201"/>
      <c r="BI23" s="201"/>
      <c r="BJ23" s="202">
        <f>1200/4</f>
        <v>300</v>
      </c>
      <c r="BK23" s="203" t="s">
        <v>69</v>
      </c>
      <c r="BL23" s="168" t="s">
        <v>185</v>
      </c>
      <c r="BM23" s="204">
        <f>Q23+AF23+AU23+BJ23</f>
        <v>1200</v>
      </c>
    </row>
    <row r="24" spans="1:65" s="177" customFormat="1" ht="51" customHeight="1" x14ac:dyDescent="0.35">
      <c r="A24" s="165"/>
      <c r="B24" s="346" t="s">
        <v>114</v>
      </c>
      <c r="C24" s="347"/>
      <c r="D24" s="206"/>
      <c r="E24" s="205"/>
      <c r="F24" s="205"/>
      <c r="G24" s="205"/>
      <c r="H24" s="205"/>
      <c r="I24" s="205"/>
      <c r="J24" s="205"/>
      <c r="K24" s="205"/>
      <c r="L24" s="205"/>
      <c r="M24" s="205"/>
      <c r="N24" s="205"/>
      <c r="O24" s="205"/>
      <c r="P24" s="205"/>
      <c r="Q24" s="207">
        <f>SUM(Q13:Q23)</f>
        <v>6842</v>
      </c>
      <c r="R24" s="208"/>
      <c r="S24" s="209"/>
      <c r="T24" s="205"/>
      <c r="U24" s="205"/>
      <c r="V24" s="205"/>
      <c r="W24" s="205"/>
      <c r="X24" s="205"/>
      <c r="Y24" s="205"/>
      <c r="Z24" s="205"/>
      <c r="AA24" s="205"/>
      <c r="AB24" s="205"/>
      <c r="AC24" s="205"/>
      <c r="AD24" s="205"/>
      <c r="AE24" s="205"/>
      <c r="AF24" s="210">
        <f>SUM(AF13:AF23)</f>
        <v>6842</v>
      </c>
      <c r="AG24" s="205"/>
      <c r="AH24" s="205"/>
      <c r="AI24" s="205"/>
      <c r="AJ24" s="205"/>
      <c r="AK24" s="205"/>
      <c r="AL24" s="205"/>
      <c r="AM24" s="205"/>
      <c r="AN24" s="205"/>
      <c r="AO24" s="205"/>
      <c r="AP24" s="205"/>
      <c r="AQ24" s="205"/>
      <c r="AR24" s="205"/>
      <c r="AS24" s="205"/>
      <c r="AT24" s="205"/>
      <c r="AU24" s="210">
        <f>SUM(AU13:AU23)</f>
        <v>6842</v>
      </c>
      <c r="AV24" s="205"/>
      <c r="AW24" s="205"/>
      <c r="AX24" s="205"/>
      <c r="AY24" s="205"/>
      <c r="AZ24" s="205"/>
      <c r="BA24" s="205"/>
      <c r="BB24" s="205"/>
      <c r="BC24" s="205"/>
      <c r="BD24" s="205"/>
      <c r="BE24" s="205"/>
      <c r="BF24" s="205"/>
      <c r="BG24" s="205"/>
      <c r="BH24" s="205"/>
      <c r="BI24" s="205"/>
      <c r="BJ24" s="210">
        <f>SUM(BJ13:BJ23)</f>
        <v>6842</v>
      </c>
      <c r="BK24" s="205"/>
      <c r="BL24" s="205"/>
      <c r="BM24" s="211"/>
    </row>
    <row r="25" spans="1:65" s="161" customFormat="1" ht="39" customHeight="1" x14ac:dyDescent="0.35">
      <c r="A25" s="160"/>
      <c r="B25" s="348" t="s">
        <v>34</v>
      </c>
      <c r="C25" s="349"/>
      <c r="D25" s="349"/>
      <c r="E25" s="349"/>
      <c r="F25" s="349"/>
      <c r="G25" s="349"/>
      <c r="H25" s="349"/>
      <c r="I25" s="349"/>
      <c r="J25" s="349"/>
      <c r="K25" s="349"/>
      <c r="L25" s="349"/>
      <c r="M25" s="349"/>
      <c r="N25" s="349"/>
      <c r="O25" s="349"/>
      <c r="P25" s="349"/>
      <c r="Q25" s="349"/>
      <c r="R25" s="349"/>
      <c r="S25" s="349"/>
      <c r="T25" s="162"/>
      <c r="U25" s="162"/>
      <c r="V25" s="162"/>
      <c r="W25" s="162"/>
      <c r="X25" s="162"/>
      <c r="Y25" s="162"/>
      <c r="Z25" s="162"/>
      <c r="AA25" s="162"/>
      <c r="AB25" s="162"/>
      <c r="AC25" s="162"/>
      <c r="AD25" s="162"/>
      <c r="AE25" s="162"/>
      <c r="AF25" s="162"/>
      <c r="AG25" s="162"/>
      <c r="AH25" s="162"/>
      <c r="AI25" s="162"/>
      <c r="AJ25" s="162"/>
      <c r="AK25" s="162"/>
      <c r="AL25" s="162"/>
      <c r="AM25" s="162"/>
      <c r="AN25" s="162"/>
      <c r="AO25" s="162"/>
      <c r="AP25" s="162"/>
      <c r="AQ25" s="162"/>
      <c r="AR25" s="162"/>
      <c r="AS25" s="162"/>
      <c r="AT25" s="162"/>
      <c r="AU25" s="162"/>
      <c r="AV25" s="162"/>
      <c r="AW25" s="162"/>
      <c r="AX25" s="162"/>
      <c r="AY25" s="162"/>
      <c r="AZ25" s="162"/>
      <c r="BA25" s="162"/>
      <c r="BB25" s="162"/>
      <c r="BC25" s="162"/>
      <c r="BD25" s="162"/>
      <c r="BE25" s="162"/>
      <c r="BF25" s="162"/>
      <c r="BG25" s="162"/>
      <c r="BH25" s="162"/>
      <c r="BI25" s="162"/>
      <c r="BJ25" s="162"/>
      <c r="BK25" s="162"/>
      <c r="BL25" s="162"/>
      <c r="BM25" s="163">
        <f>SUM(BM13:BM24)</f>
        <v>27368</v>
      </c>
    </row>
    <row r="26" spans="1:65" ht="16.5" customHeight="1" x14ac:dyDescent="0.35">
      <c r="A26" s="112"/>
      <c r="B26" s="350"/>
      <c r="C26" s="350"/>
      <c r="D26" s="350"/>
      <c r="E26" s="350"/>
      <c r="F26" s="350"/>
      <c r="G26" s="350"/>
      <c r="H26" s="350"/>
      <c r="I26" s="350"/>
      <c r="J26" s="350"/>
      <c r="K26" s="350"/>
      <c r="L26" s="350"/>
      <c r="M26" s="350"/>
      <c r="N26" s="350"/>
      <c r="O26" s="350"/>
      <c r="P26" s="350"/>
      <c r="Q26" s="350"/>
      <c r="R26" s="350"/>
      <c r="S26" s="350"/>
      <c r="T26" s="150"/>
      <c r="U26" s="150"/>
      <c r="V26" s="150"/>
      <c r="W26" s="150"/>
      <c r="X26" s="150"/>
      <c r="Y26" s="150"/>
      <c r="Z26" s="150"/>
      <c r="AA26" s="150"/>
      <c r="AB26" s="150"/>
      <c r="AC26" s="150"/>
      <c r="AD26" s="150"/>
      <c r="AE26" s="150"/>
      <c r="AF26" s="150"/>
      <c r="AG26" s="150"/>
      <c r="AH26" s="150"/>
      <c r="AI26" s="151"/>
      <c r="AJ26" s="112"/>
      <c r="AK26" s="112"/>
      <c r="AL26" s="112"/>
      <c r="AM26" s="112"/>
      <c r="AN26" s="112"/>
      <c r="AO26" s="112"/>
      <c r="AP26" s="112"/>
      <c r="AQ26" s="112"/>
      <c r="AR26" s="112"/>
      <c r="AS26" s="112"/>
      <c r="AT26" s="112"/>
      <c r="AU26" s="112"/>
      <c r="AV26" s="112"/>
      <c r="AW26" s="112"/>
      <c r="AX26" s="112"/>
      <c r="AY26" s="112"/>
      <c r="AZ26" s="112"/>
      <c r="BA26" s="112"/>
      <c r="BB26" s="112"/>
      <c r="BC26" s="112"/>
      <c r="BD26" s="112"/>
      <c r="BE26" s="112"/>
      <c r="BF26" s="112"/>
      <c r="BG26" s="112"/>
      <c r="BH26" s="112"/>
      <c r="BI26" s="112"/>
      <c r="BJ26" s="112"/>
      <c r="BK26" s="112"/>
      <c r="BL26" s="112"/>
      <c r="BM26" s="152"/>
    </row>
    <row r="27" spans="1:65" ht="23.25" x14ac:dyDescent="0.35">
      <c r="A27" s="112"/>
      <c r="B27" s="112"/>
      <c r="C27" s="112"/>
      <c r="D27" s="112"/>
      <c r="E27" s="112"/>
      <c r="F27" s="112"/>
      <c r="G27" s="112"/>
      <c r="H27" s="112"/>
      <c r="I27" s="112"/>
      <c r="J27" s="112"/>
      <c r="K27" s="112"/>
      <c r="L27" s="112"/>
      <c r="M27" s="112"/>
      <c r="N27" s="112"/>
      <c r="O27" s="112"/>
      <c r="P27" s="112"/>
      <c r="Q27" s="153"/>
      <c r="R27" s="153"/>
      <c r="S27" s="112"/>
      <c r="T27" s="112"/>
      <c r="U27" s="112"/>
      <c r="V27" s="112"/>
      <c r="W27" s="112"/>
      <c r="X27" s="112"/>
      <c r="Y27" s="112"/>
      <c r="Z27" s="112"/>
      <c r="AA27" s="112"/>
      <c r="AB27" s="112"/>
      <c r="AC27" s="112"/>
      <c r="AD27" s="112"/>
      <c r="AE27" s="112"/>
      <c r="AF27" s="112"/>
      <c r="AG27" s="112"/>
      <c r="AH27" s="112"/>
      <c r="AI27" s="112"/>
      <c r="AJ27" s="112"/>
      <c r="AK27" s="112"/>
      <c r="AL27" s="112"/>
      <c r="AM27" s="112"/>
      <c r="AN27" s="112"/>
      <c r="AO27" s="112"/>
      <c r="AP27" s="112"/>
      <c r="AQ27" s="112"/>
      <c r="AR27" s="112"/>
      <c r="AS27" s="112"/>
      <c r="AT27" s="112"/>
      <c r="AU27" s="112"/>
      <c r="AV27" s="112"/>
      <c r="AW27" s="112"/>
      <c r="AX27" s="112"/>
      <c r="AY27" s="112"/>
      <c r="AZ27" s="112"/>
      <c r="BA27" s="112"/>
      <c r="BB27" s="112"/>
      <c r="BC27" s="112"/>
      <c r="BD27" s="112"/>
      <c r="BE27" s="112"/>
      <c r="BF27" s="112"/>
      <c r="BG27" s="112"/>
      <c r="BH27" s="112"/>
      <c r="BI27" s="112"/>
      <c r="BJ27" s="112"/>
      <c r="BK27" s="112"/>
      <c r="BL27" s="112"/>
      <c r="BM27" s="112"/>
    </row>
    <row r="28" spans="1:65" ht="23.25" x14ac:dyDescent="0.35">
      <c r="A28" s="112"/>
      <c r="B28" s="112"/>
      <c r="C28" s="112"/>
      <c r="D28" s="112"/>
      <c r="E28" s="112"/>
      <c r="F28" s="112"/>
      <c r="G28" s="112"/>
      <c r="H28" s="112"/>
      <c r="I28" s="112"/>
      <c r="J28" s="112"/>
      <c r="K28" s="112"/>
      <c r="L28" s="112"/>
      <c r="M28" s="112"/>
      <c r="N28" s="112"/>
      <c r="O28" s="112"/>
      <c r="P28" s="112"/>
      <c r="Q28" s="153"/>
      <c r="R28" s="153"/>
      <c r="S28" s="112"/>
      <c r="T28" s="112"/>
      <c r="U28" s="112"/>
      <c r="V28" s="112"/>
      <c r="W28" s="112"/>
      <c r="X28" s="112"/>
      <c r="Y28" s="112"/>
      <c r="Z28" s="112"/>
      <c r="AA28" s="112"/>
      <c r="AB28" s="112"/>
      <c r="AC28" s="112"/>
      <c r="AD28" s="112"/>
      <c r="AE28" s="112"/>
      <c r="AF28" s="112"/>
      <c r="AG28" s="112"/>
      <c r="AH28" s="112"/>
      <c r="AI28" s="112"/>
      <c r="AJ28" s="112"/>
      <c r="AK28" s="112"/>
      <c r="AL28" s="112"/>
      <c r="AM28" s="112"/>
      <c r="AN28" s="112"/>
      <c r="AO28" s="112"/>
      <c r="AP28" s="112"/>
      <c r="AQ28" s="112"/>
      <c r="AR28" s="112"/>
      <c r="AS28" s="112"/>
      <c r="AT28" s="112"/>
      <c r="AU28" s="112"/>
      <c r="AV28" s="112"/>
      <c r="AW28" s="112"/>
      <c r="AX28" s="112"/>
      <c r="AY28" s="112"/>
      <c r="AZ28" s="112"/>
      <c r="BA28" s="112"/>
      <c r="BB28" s="112"/>
      <c r="BC28" s="112"/>
      <c r="BD28" s="112"/>
      <c r="BE28" s="112"/>
      <c r="BF28" s="112"/>
      <c r="BG28" s="112"/>
      <c r="BH28" s="112"/>
      <c r="BI28" s="112"/>
      <c r="BJ28" s="112"/>
      <c r="BK28" s="112"/>
      <c r="BL28" s="112"/>
      <c r="BM28" s="112"/>
    </row>
    <row r="29" spans="1:65" ht="23.25" x14ac:dyDescent="0.35">
      <c r="A29" s="112"/>
      <c r="B29" s="112"/>
      <c r="C29" s="112"/>
      <c r="D29" s="112"/>
      <c r="E29" s="112"/>
      <c r="F29" s="112"/>
      <c r="G29" s="112"/>
      <c r="H29" s="112"/>
      <c r="I29" s="112"/>
      <c r="J29" s="112"/>
      <c r="K29" s="154" t="s">
        <v>132</v>
      </c>
      <c r="L29" s="112"/>
      <c r="M29" s="112"/>
      <c r="N29" s="112"/>
      <c r="O29" s="112"/>
      <c r="P29" s="112"/>
      <c r="Q29" s="112"/>
      <c r="R29" s="153"/>
      <c r="S29" s="112"/>
      <c r="T29" s="112"/>
      <c r="U29" s="112"/>
      <c r="V29" s="112"/>
      <c r="W29" s="112"/>
      <c r="X29" s="112"/>
      <c r="Y29" s="112"/>
      <c r="Z29" s="112"/>
      <c r="AA29" s="112"/>
      <c r="AB29" s="112"/>
      <c r="AC29" s="112"/>
      <c r="AD29" s="112"/>
      <c r="AE29" s="112"/>
      <c r="AF29" s="154"/>
      <c r="AG29" s="112"/>
      <c r="AH29" s="112"/>
      <c r="AI29" s="112"/>
      <c r="AJ29" s="112"/>
      <c r="AK29" s="112"/>
      <c r="AL29" s="112"/>
      <c r="AM29" s="112"/>
      <c r="AN29" s="112"/>
      <c r="AO29" s="112"/>
      <c r="AP29" s="112"/>
      <c r="AQ29" s="112"/>
      <c r="AR29" s="112"/>
      <c r="AS29" s="112"/>
      <c r="AT29" s="112"/>
      <c r="AU29" s="112"/>
      <c r="AV29" s="112"/>
      <c r="AW29" s="112"/>
      <c r="AX29" s="112"/>
      <c r="AY29" s="154" t="s">
        <v>132</v>
      </c>
      <c r="AZ29" s="112"/>
      <c r="BA29" s="112"/>
      <c r="BB29" s="112"/>
      <c r="BC29" s="112"/>
      <c r="BD29" s="112"/>
      <c r="BE29" s="112"/>
      <c r="BF29" s="112"/>
      <c r="BG29" s="112"/>
      <c r="BH29" s="112"/>
      <c r="BI29" s="112"/>
      <c r="BJ29" s="112"/>
      <c r="BK29" s="112"/>
      <c r="BL29" s="112"/>
      <c r="BM29" s="155">
        <f>BM25+32832</f>
        <v>60200</v>
      </c>
    </row>
    <row r="30" spans="1:65" ht="27" customHeight="1" x14ac:dyDescent="0.35">
      <c r="A30" s="112"/>
      <c r="B30" s="112"/>
      <c r="C30" s="112"/>
      <c r="D30" s="112"/>
      <c r="E30" s="112"/>
      <c r="F30" s="112"/>
      <c r="G30" s="112"/>
      <c r="H30" s="112"/>
      <c r="I30" s="112"/>
      <c r="J30" s="112"/>
      <c r="K30" s="150" t="s">
        <v>38</v>
      </c>
      <c r="L30" s="112"/>
      <c r="M30" s="112"/>
      <c r="N30" s="112"/>
      <c r="O30" s="112"/>
      <c r="P30" s="112"/>
      <c r="Q30" s="112"/>
      <c r="R30" s="153"/>
      <c r="S30" s="112"/>
      <c r="T30" s="112"/>
      <c r="U30" s="112"/>
      <c r="V30" s="112"/>
      <c r="W30" s="112"/>
      <c r="X30" s="112"/>
      <c r="Y30" s="112"/>
      <c r="Z30" s="112"/>
      <c r="AA30" s="112"/>
      <c r="AB30" s="112"/>
      <c r="AC30" s="112"/>
      <c r="AD30" s="112"/>
      <c r="AE30" s="112"/>
      <c r="AF30" s="150"/>
      <c r="AG30" s="112"/>
      <c r="AH30" s="112"/>
      <c r="AI30" s="112"/>
      <c r="AJ30" s="112"/>
      <c r="AK30" s="112"/>
      <c r="AL30" s="112"/>
      <c r="AM30" s="112"/>
      <c r="AN30" s="112"/>
      <c r="AO30" s="112"/>
      <c r="AP30" s="112"/>
      <c r="AQ30" s="112"/>
      <c r="AR30" s="112"/>
      <c r="AS30" s="112"/>
      <c r="AT30" s="112"/>
      <c r="AU30" s="112"/>
      <c r="AV30" s="112"/>
      <c r="AW30" s="112"/>
      <c r="AX30" s="112"/>
      <c r="AY30" s="150" t="s">
        <v>112</v>
      </c>
      <c r="AZ30" s="112"/>
      <c r="BA30" s="112"/>
      <c r="BB30" s="112"/>
      <c r="BC30" s="112"/>
      <c r="BD30" s="112"/>
      <c r="BE30" s="112"/>
      <c r="BF30" s="112"/>
      <c r="BG30" s="112"/>
      <c r="BH30" s="112"/>
      <c r="BI30" s="112"/>
      <c r="BJ30" s="112"/>
      <c r="BK30" s="112"/>
      <c r="BL30" s="112"/>
      <c r="BM30" s="112"/>
    </row>
    <row r="31" spans="1:65" ht="23.25" x14ac:dyDescent="0.35">
      <c r="A31" s="112"/>
      <c r="B31" s="112"/>
      <c r="C31" s="112"/>
      <c r="D31" s="112"/>
      <c r="E31" s="112"/>
      <c r="F31" s="112"/>
      <c r="G31" s="112"/>
      <c r="H31" s="112"/>
      <c r="I31" s="112"/>
      <c r="J31" s="112"/>
      <c r="K31" s="112"/>
      <c r="L31" s="112"/>
      <c r="M31" s="112"/>
      <c r="N31" s="112"/>
      <c r="O31" s="112"/>
      <c r="P31" s="112"/>
      <c r="Q31" s="112"/>
      <c r="R31" s="153"/>
      <c r="S31" s="112"/>
      <c r="T31" s="112"/>
      <c r="U31" s="112"/>
      <c r="V31" s="112"/>
      <c r="W31" s="112"/>
      <c r="X31" s="112"/>
      <c r="Y31" s="112"/>
      <c r="Z31" s="112"/>
      <c r="AA31" s="112"/>
      <c r="AB31" s="112"/>
      <c r="AC31" s="112"/>
      <c r="AD31" s="112"/>
      <c r="AE31" s="112"/>
      <c r="AF31" s="112"/>
      <c r="AG31" s="112"/>
      <c r="AH31" s="112"/>
      <c r="AI31" s="112"/>
      <c r="AJ31" s="112"/>
      <c r="AK31" s="112"/>
      <c r="AL31" s="112"/>
      <c r="AM31" s="112"/>
      <c r="AN31" s="112"/>
      <c r="AO31" s="112"/>
      <c r="AP31" s="112"/>
      <c r="AQ31" s="112"/>
      <c r="AR31" s="112"/>
      <c r="AS31" s="112"/>
      <c r="AT31" s="112"/>
      <c r="AU31" s="112"/>
      <c r="AV31" s="112"/>
      <c r="AW31" s="112"/>
      <c r="AX31" s="112"/>
      <c r="AY31" s="112"/>
      <c r="AZ31" s="112"/>
      <c r="BA31" s="112"/>
      <c r="BB31" s="112"/>
      <c r="BC31" s="112"/>
      <c r="BD31" s="112"/>
      <c r="BE31" s="112"/>
      <c r="BF31" s="112"/>
      <c r="BG31" s="112"/>
      <c r="BH31" s="112"/>
      <c r="BI31" s="112"/>
      <c r="BJ31" s="112"/>
      <c r="BK31" s="112"/>
      <c r="BL31" s="112"/>
      <c r="BM31" s="112"/>
    </row>
    <row r="32" spans="1:65" ht="92.25" customHeight="1" x14ac:dyDescent="0.35">
      <c r="A32" s="112"/>
      <c r="B32" s="112"/>
      <c r="C32" s="112"/>
      <c r="D32" s="112"/>
      <c r="E32" s="112"/>
      <c r="F32" s="112"/>
      <c r="G32" s="112"/>
      <c r="H32" s="112"/>
      <c r="I32" s="112"/>
      <c r="J32" s="112"/>
      <c r="K32" s="112"/>
      <c r="L32" s="112"/>
      <c r="M32" s="112"/>
      <c r="N32" s="112"/>
      <c r="O32" s="112"/>
      <c r="P32" s="112"/>
      <c r="Q32" s="112"/>
      <c r="R32" s="153"/>
      <c r="S32" s="112"/>
      <c r="T32" s="112"/>
      <c r="U32" s="112"/>
      <c r="V32" s="112"/>
      <c r="W32" s="112"/>
      <c r="X32" s="112"/>
      <c r="Y32" s="112"/>
      <c r="Z32" s="112"/>
      <c r="AA32" s="112"/>
      <c r="AB32" s="112"/>
      <c r="AC32" s="112"/>
      <c r="AD32" s="112"/>
      <c r="AE32" s="112"/>
      <c r="AF32" s="112"/>
      <c r="AG32" s="112"/>
      <c r="AH32" s="112"/>
      <c r="AI32" s="112"/>
      <c r="AJ32" s="112"/>
      <c r="AK32" s="112"/>
      <c r="AL32" s="112"/>
      <c r="AM32" s="112"/>
      <c r="AN32" s="112"/>
      <c r="AO32" s="112"/>
      <c r="AP32" s="112"/>
      <c r="AQ32" s="112"/>
      <c r="AR32" s="112"/>
      <c r="AS32" s="112"/>
      <c r="AT32" s="112"/>
      <c r="AU32" s="112"/>
      <c r="AV32" s="112"/>
      <c r="AW32" s="112"/>
      <c r="AX32" s="112"/>
      <c r="AY32" s="112"/>
      <c r="AZ32" s="112"/>
      <c r="BA32" s="112"/>
      <c r="BB32" s="112"/>
      <c r="BC32" s="112"/>
      <c r="BD32" s="112"/>
      <c r="BE32" s="112"/>
      <c r="BF32" s="112"/>
      <c r="BG32" s="112"/>
      <c r="BH32" s="112"/>
      <c r="BI32" s="112"/>
      <c r="BJ32" s="112"/>
      <c r="BK32" s="112"/>
      <c r="BL32" s="112"/>
      <c r="BM32" s="112"/>
    </row>
    <row r="33" spans="1:65" ht="23.25" x14ac:dyDescent="0.35">
      <c r="A33" s="112"/>
      <c r="B33" s="112"/>
      <c r="C33" s="112"/>
      <c r="D33" s="112"/>
      <c r="E33" s="112"/>
      <c r="F33" s="112"/>
      <c r="G33" s="112"/>
      <c r="H33" s="112"/>
      <c r="I33" s="112"/>
      <c r="J33" s="112"/>
      <c r="K33" s="156" t="s">
        <v>163</v>
      </c>
      <c r="L33" s="112"/>
      <c r="M33" s="112"/>
      <c r="N33" s="112"/>
      <c r="O33" s="112"/>
      <c r="P33" s="112"/>
      <c r="Q33" s="112"/>
      <c r="R33" s="153"/>
      <c r="S33" s="112"/>
      <c r="T33" s="112"/>
      <c r="U33" s="112"/>
      <c r="V33" s="112"/>
      <c r="W33" s="112"/>
      <c r="X33" s="112"/>
      <c r="Y33" s="112"/>
      <c r="Z33" s="112"/>
      <c r="AA33" s="112"/>
      <c r="AB33" s="112"/>
      <c r="AC33" s="112"/>
      <c r="AD33" s="112"/>
      <c r="AE33" s="112"/>
      <c r="AF33" s="156"/>
      <c r="AG33" s="112"/>
      <c r="AH33" s="112"/>
      <c r="AI33" s="112"/>
      <c r="AJ33" s="112"/>
      <c r="AK33" s="112"/>
      <c r="AL33" s="112"/>
      <c r="AM33" s="112"/>
      <c r="AN33" s="112"/>
      <c r="AO33" s="112"/>
      <c r="AP33" s="112"/>
      <c r="AQ33" s="112"/>
      <c r="AR33" s="112"/>
      <c r="AS33" s="112"/>
      <c r="AT33" s="112"/>
      <c r="AU33" s="112"/>
      <c r="AV33" s="112"/>
      <c r="AW33" s="112"/>
      <c r="AX33" s="112"/>
      <c r="AY33" s="156" t="s">
        <v>164</v>
      </c>
      <c r="AZ33" s="112"/>
      <c r="BA33" s="112"/>
      <c r="BB33" s="112"/>
      <c r="BC33" s="112"/>
      <c r="BD33" s="112"/>
      <c r="BE33" s="112"/>
      <c r="BF33" s="112"/>
      <c r="BG33" s="112"/>
      <c r="BH33" s="112"/>
      <c r="BI33" s="112"/>
      <c r="BJ33" s="112"/>
      <c r="BK33" s="112"/>
      <c r="BL33" s="112"/>
      <c r="BM33" s="112"/>
    </row>
    <row r="34" spans="1:65" ht="23.25" x14ac:dyDescent="0.35">
      <c r="A34" s="112"/>
      <c r="B34" s="112"/>
      <c r="C34" s="112"/>
      <c r="D34" s="112"/>
      <c r="E34" s="112"/>
      <c r="F34" s="112"/>
      <c r="G34" s="112"/>
      <c r="H34" s="112"/>
      <c r="I34" s="112"/>
      <c r="J34" s="112"/>
      <c r="K34" s="157" t="s">
        <v>111</v>
      </c>
      <c r="L34" s="112"/>
      <c r="M34" s="112"/>
      <c r="N34" s="112"/>
      <c r="O34" s="112"/>
      <c r="P34" s="112"/>
      <c r="Q34" s="112"/>
      <c r="R34" s="153"/>
      <c r="S34" s="112"/>
      <c r="T34" s="112"/>
      <c r="U34" s="112"/>
      <c r="V34" s="112"/>
      <c r="W34" s="112"/>
      <c r="X34" s="112"/>
      <c r="Y34" s="112"/>
      <c r="Z34" s="112"/>
      <c r="AA34" s="112"/>
      <c r="AB34" s="112"/>
      <c r="AC34" s="112"/>
      <c r="AD34" s="112"/>
      <c r="AE34" s="112"/>
      <c r="AF34" s="157"/>
      <c r="AG34" s="112"/>
      <c r="AH34" s="112"/>
      <c r="AI34" s="112"/>
      <c r="AJ34" s="112"/>
      <c r="AK34" s="112"/>
      <c r="AL34" s="112"/>
      <c r="AM34" s="112"/>
      <c r="AN34" s="112"/>
      <c r="AO34" s="112"/>
      <c r="AP34" s="112"/>
      <c r="AQ34" s="112"/>
      <c r="AR34" s="112"/>
      <c r="AS34" s="112"/>
      <c r="AT34" s="112"/>
      <c r="AU34" s="112"/>
      <c r="AV34" s="112"/>
      <c r="AW34" s="112"/>
      <c r="AX34" s="112"/>
      <c r="AY34" s="157" t="s">
        <v>113</v>
      </c>
      <c r="AZ34" s="112"/>
      <c r="BA34" s="112"/>
      <c r="BB34" s="112"/>
      <c r="BC34" s="112"/>
      <c r="BD34" s="112"/>
      <c r="BE34" s="112"/>
      <c r="BF34" s="112"/>
      <c r="BG34" s="112"/>
      <c r="BH34" s="112"/>
      <c r="BI34" s="112"/>
      <c r="BJ34" s="112"/>
      <c r="BK34" s="112"/>
      <c r="BL34" s="112"/>
      <c r="BM34" s="112"/>
    </row>
    <row r="42" spans="1:65" ht="46.5" customHeight="1" x14ac:dyDescent="0.25"/>
    <row r="43" spans="1:65" x14ac:dyDescent="0.25">
      <c r="C43" s="85"/>
      <c r="D43" s="85"/>
      <c r="E43" s="85"/>
      <c r="F43" s="85"/>
      <c r="G43" s="85"/>
      <c r="H43" s="85"/>
      <c r="I43" s="85"/>
      <c r="J43" s="85"/>
      <c r="K43" s="85"/>
      <c r="L43" s="85"/>
      <c r="M43" s="85"/>
      <c r="N43" s="85"/>
      <c r="O43" s="85"/>
      <c r="P43" s="85"/>
      <c r="Q43" s="85"/>
      <c r="R43" s="85"/>
      <c r="S43" s="85"/>
      <c r="T43" s="85"/>
      <c r="U43" s="85"/>
      <c r="V43" s="85"/>
      <c r="W43" s="85"/>
      <c r="X43" s="85"/>
      <c r="Y43" s="85"/>
      <c r="Z43" s="85"/>
      <c r="AA43" s="85"/>
      <c r="AB43" s="85"/>
      <c r="AC43" s="85"/>
      <c r="AD43" s="85"/>
      <c r="AE43" s="85"/>
      <c r="AF43" s="85"/>
      <c r="AG43" s="85"/>
      <c r="AH43" s="85"/>
    </row>
    <row r="44" spans="1:65" ht="27" customHeight="1" x14ac:dyDescent="0.25"/>
    <row r="45" spans="1:65" ht="27" customHeight="1" x14ac:dyDescent="0.25"/>
    <row r="46" spans="1:65" ht="27" customHeight="1" x14ac:dyDescent="0.25"/>
    <row r="47" spans="1:65" ht="27" customHeight="1" x14ac:dyDescent="0.25"/>
    <row r="48" spans="1:65" ht="27" customHeight="1" x14ac:dyDescent="0.25"/>
    <row r="49" spans="3:34" x14ac:dyDescent="0.25">
      <c r="C49" s="320"/>
      <c r="D49" s="320"/>
      <c r="E49" s="320"/>
      <c r="F49" s="320"/>
      <c r="G49" s="320"/>
      <c r="H49" s="320"/>
      <c r="I49" s="320"/>
      <c r="J49" s="320"/>
      <c r="K49" s="320"/>
      <c r="L49" s="320"/>
      <c r="M49" s="320"/>
      <c r="N49" s="320"/>
      <c r="O49" s="320"/>
      <c r="P49" s="320"/>
      <c r="Q49" s="320"/>
      <c r="R49" s="87"/>
      <c r="S49" s="87"/>
      <c r="T49" s="87"/>
      <c r="U49" s="87"/>
      <c r="V49" s="87"/>
      <c r="W49" s="87"/>
      <c r="X49" s="87"/>
      <c r="Y49" s="87"/>
      <c r="Z49" s="87"/>
      <c r="AA49" s="87"/>
      <c r="AB49" s="87"/>
      <c r="AC49" s="87"/>
      <c r="AD49" s="87"/>
      <c r="AE49" s="87"/>
      <c r="AF49" s="87"/>
      <c r="AG49" s="87"/>
      <c r="AH49" s="87"/>
    </row>
    <row r="50" spans="3:34" x14ac:dyDescent="0.25">
      <c r="C50" s="320"/>
      <c r="D50" s="320"/>
      <c r="E50" s="320"/>
      <c r="F50" s="320"/>
      <c r="G50" s="320"/>
      <c r="H50" s="320"/>
      <c r="I50" s="320"/>
      <c r="J50" s="320"/>
      <c r="K50" s="320"/>
      <c r="L50" s="320"/>
      <c r="M50" s="320"/>
      <c r="N50" s="320"/>
      <c r="O50" s="320"/>
      <c r="P50" s="320"/>
      <c r="Q50" s="320"/>
      <c r="R50" s="87"/>
      <c r="S50" s="87"/>
      <c r="T50" s="87"/>
      <c r="U50" s="87"/>
      <c r="V50" s="87"/>
      <c r="W50" s="87"/>
      <c r="X50" s="87"/>
      <c r="Y50" s="87"/>
      <c r="Z50" s="87"/>
      <c r="AA50" s="87"/>
      <c r="AB50" s="87"/>
      <c r="AC50" s="87"/>
      <c r="AD50" s="87"/>
      <c r="AE50" s="87"/>
      <c r="AF50" s="87"/>
      <c r="AG50" s="87"/>
      <c r="AH50" s="87"/>
    </row>
    <row r="54" spans="3:34" ht="29.25" customHeight="1" x14ac:dyDescent="0.25">
      <c r="Q54" s="86"/>
      <c r="R54" s="86"/>
      <c r="S54" s="86"/>
      <c r="T54" s="86"/>
      <c r="U54" s="86"/>
      <c r="V54" s="86"/>
      <c r="W54" s="86"/>
      <c r="X54" s="86"/>
      <c r="Y54" s="86"/>
      <c r="Z54" s="86"/>
      <c r="AA54" s="86"/>
      <c r="AB54" s="86"/>
      <c r="AC54" s="86"/>
      <c r="AD54" s="86"/>
      <c r="AE54" s="86"/>
      <c r="AF54" s="86"/>
      <c r="AG54" s="86"/>
      <c r="AH54" s="86"/>
    </row>
    <row r="55" spans="3:34" ht="29.25" customHeight="1" x14ac:dyDescent="0.25">
      <c r="Q55" s="86"/>
      <c r="R55" s="86"/>
      <c r="S55" s="86"/>
      <c r="T55" s="86"/>
      <c r="U55" s="86"/>
      <c r="V55" s="86"/>
      <c r="W55" s="86"/>
      <c r="X55" s="86"/>
      <c r="Y55" s="86"/>
      <c r="Z55" s="86"/>
      <c r="AA55" s="86"/>
      <c r="AB55" s="86"/>
      <c r="AC55" s="86"/>
      <c r="AD55" s="86"/>
      <c r="AE55" s="86"/>
      <c r="AF55" s="86"/>
      <c r="AG55" s="86"/>
      <c r="AH55" s="86"/>
    </row>
  </sheetData>
  <mergeCells count="34">
    <mergeCell ref="A10:BM10"/>
    <mergeCell ref="A11:A12"/>
    <mergeCell ref="B11:B12"/>
    <mergeCell ref="C11:C12"/>
    <mergeCell ref="D11:D12"/>
    <mergeCell ref="E11:H11"/>
    <mergeCell ref="I11:L11"/>
    <mergeCell ref="M11:P11"/>
    <mergeCell ref="Q11:Q12"/>
    <mergeCell ref="R11:R12"/>
    <mergeCell ref="AV11:AV12"/>
    <mergeCell ref="S11:S12"/>
    <mergeCell ref="T11:W11"/>
    <mergeCell ref="X11:AA11"/>
    <mergeCell ref="AB11:AE11"/>
    <mergeCell ref="AF11:AF12"/>
    <mergeCell ref="BL11:BL12"/>
    <mergeCell ref="BM11:BM12"/>
    <mergeCell ref="AW11:AW12"/>
    <mergeCell ref="AX11:BA11"/>
    <mergeCell ref="BB11:BE11"/>
    <mergeCell ref="BF11:BI11"/>
    <mergeCell ref="BJ11:BJ12"/>
    <mergeCell ref="BK11:BK12"/>
    <mergeCell ref="C49:Q50"/>
    <mergeCell ref="B24:C24"/>
    <mergeCell ref="B25:S25"/>
    <mergeCell ref="B26:S26"/>
    <mergeCell ref="AU11:AU12"/>
    <mergeCell ref="AG11:AG12"/>
    <mergeCell ref="AH11:AH12"/>
    <mergeCell ref="AI11:AL11"/>
    <mergeCell ref="AM11:AP11"/>
    <mergeCell ref="AQ11:AT11"/>
  </mergeCells>
  <phoneticPr fontId="27" type="noConversion"/>
  <printOptions horizontalCentered="1"/>
  <pageMargins left="0.1" right="0.1" top="0.35" bottom="0.1" header="0.3" footer="0.3"/>
  <pageSetup paperSize="8" scale="32"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34FF59-0D93-48B1-ACC6-14B7A060AEA8}">
  <dimension ref="A2:K34"/>
  <sheetViews>
    <sheetView workbookViewId="0">
      <selection activeCell="F29" sqref="F29:F30"/>
    </sheetView>
  </sheetViews>
  <sheetFormatPr defaultRowHeight="15" x14ac:dyDescent="0.25"/>
  <cols>
    <col min="1" max="1" width="13.7109375" customWidth="1"/>
    <col min="6" max="6" width="15.42578125" customWidth="1"/>
    <col min="7" max="7" width="12.42578125" customWidth="1"/>
    <col min="8" max="8" width="11.28515625" customWidth="1"/>
    <col min="9" max="9" width="10.85546875" customWidth="1"/>
    <col min="10" max="10" width="12.28515625" customWidth="1"/>
    <col min="11" max="11" width="17.28515625" customWidth="1"/>
  </cols>
  <sheetData>
    <row r="2" spans="1:11" ht="60" x14ac:dyDescent="0.25">
      <c r="A2" s="80" t="s">
        <v>53</v>
      </c>
      <c r="B2" s="84" t="s">
        <v>58</v>
      </c>
      <c r="C2" s="72" t="s">
        <v>71</v>
      </c>
      <c r="D2" s="72" t="s">
        <v>70</v>
      </c>
      <c r="E2" s="80" t="s">
        <v>59</v>
      </c>
      <c r="F2" s="74" t="s">
        <v>60</v>
      </c>
      <c r="G2" s="73" t="s">
        <v>61</v>
      </c>
      <c r="H2" s="75" t="s">
        <v>62</v>
      </c>
      <c r="I2" s="84" t="s">
        <v>63</v>
      </c>
      <c r="J2" s="74" t="s">
        <v>65</v>
      </c>
      <c r="K2" s="73" t="s">
        <v>64</v>
      </c>
    </row>
    <row r="3" spans="1:11" ht="30" customHeight="1" x14ac:dyDescent="0.25">
      <c r="A3" s="70" t="s">
        <v>72</v>
      </c>
      <c r="B3" s="70">
        <v>1040</v>
      </c>
      <c r="C3" s="70">
        <v>2671</v>
      </c>
      <c r="D3" s="70">
        <v>2574</v>
      </c>
      <c r="E3" s="70">
        <f>D3+C3</f>
        <v>5245</v>
      </c>
      <c r="F3" s="79">
        <v>890</v>
      </c>
      <c r="G3" s="78">
        <f>B3-F3</f>
        <v>150</v>
      </c>
      <c r="H3" s="76">
        <v>24</v>
      </c>
      <c r="I3" s="70">
        <v>31</v>
      </c>
      <c r="J3" s="71">
        <f>F3/B3</f>
        <v>0.85576923076923073</v>
      </c>
      <c r="K3" s="71">
        <f>G3/B3</f>
        <v>0.14423076923076922</v>
      </c>
    </row>
    <row r="4" spans="1:11" ht="30" customHeight="1" x14ac:dyDescent="0.25">
      <c r="A4" s="70" t="s">
        <v>73</v>
      </c>
      <c r="B4" s="70">
        <v>522</v>
      </c>
      <c r="C4" s="70">
        <v>1312</v>
      </c>
      <c r="D4" s="70">
        <v>1279</v>
      </c>
      <c r="E4" s="70">
        <f t="shared" ref="E4:E9" si="0">D4+C4</f>
        <v>2591</v>
      </c>
      <c r="F4" s="79">
        <v>432</v>
      </c>
      <c r="G4" s="78">
        <f>B4-F4</f>
        <v>90</v>
      </c>
      <c r="H4" s="76"/>
      <c r="I4" s="70"/>
      <c r="J4" s="71">
        <f t="shared" ref="J4:J9" si="1">F4/B4</f>
        <v>0.82758620689655171</v>
      </c>
      <c r="K4" s="71">
        <f t="shared" ref="K4:K9" si="2">G4/B4</f>
        <v>0.17241379310344829</v>
      </c>
    </row>
    <row r="5" spans="1:11" ht="30" customHeight="1" x14ac:dyDescent="0.25">
      <c r="A5" s="70" t="s">
        <v>74</v>
      </c>
      <c r="B5" s="70">
        <v>385</v>
      </c>
      <c r="C5" s="70">
        <v>947</v>
      </c>
      <c r="D5" s="70">
        <v>846</v>
      </c>
      <c r="E5" s="70">
        <f t="shared" si="0"/>
        <v>1793</v>
      </c>
      <c r="F5" s="79">
        <v>320</v>
      </c>
      <c r="G5" s="78">
        <f>B5-F5</f>
        <v>65</v>
      </c>
      <c r="H5" s="76"/>
      <c r="I5" s="70"/>
      <c r="J5" s="71">
        <f t="shared" si="1"/>
        <v>0.83116883116883122</v>
      </c>
      <c r="K5" s="71">
        <f t="shared" si="2"/>
        <v>0.16883116883116883</v>
      </c>
    </row>
    <row r="6" spans="1:11" ht="30" customHeight="1" x14ac:dyDescent="0.25">
      <c r="A6" s="70" t="s">
        <v>75</v>
      </c>
      <c r="B6" s="70">
        <v>1073</v>
      </c>
      <c r="C6" s="70">
        <v>2228</v>
      </c>
      <c r="D6" s="70">
        <v>2277</v>
      </c>
      <c r="E6" s="70">
        <f t="shared" si="0"/>
        <v>4505</v>
      </c>
      <c r="F6" s="79">
        <v>670</v>
      </c>
      <c r="G6" s="78">
        <f t="shared" ref="G6:G9" si="3">B6-F6</f>
        <v>403</v>
      </c>
      <c r="H6" s="76"/>
      <c r="I6" s="70"/>
      <c r="J6" s="71">
        <f t="shared" si="1"/>
        <v>0.62441752096924508</v>
      </c>
      <c r="K6" s="71">
        <f t="shared" si="2"/>
        <v>0.37558247903075487</v>
      </c>
    </row>
    <row r="7" spans="1:11" ht="30" customHeight="1" x14ac:dyDescent="0.25">
      <c r="A7" s="70" t="s">
        <v>76</v>
      </c>
      <c r="B7" s="70">
        <v>517</v>
      </c>
      <c r="C7" s="70">
        <v>1212</v>
      </c>
      <c r="D7" s="70">
        <v>1113</v>
      </c>
      <c r="E7" s="70">
        <f t="shared" si="0"/>
        <v>2325</v>
      </c>
      <c r="F7" s="79">
        <v>396</v>
      </c>
      <c r="G7" s="78">
        <f>B7-F7</f>
        <v>121</v>
      </c>
      <c r="H7" s="76"/>
      <c r="I7" s="70"/>
      <c r="J7" s="71">
        <f t="shared" si="1"/>
        <v>0.76595744680851063</v>
      </c>
      <c r="K7" s="71">
        <f t="shared" si="2"/>
        <v>0.23404255319148937</v>
      </c>
    </row>
    <row r="8" spans="1:11" ht="30" customHeight="1" x14ac:dyDescent="0.25">
      <c r="A8" s="70" t="s">
        <v>77</v>
      </c>
      <c r="B8" s="70">
        <v>567</v>
      </c>
      <c r="C8" s="70">
        <v>1362</v>
      </c>
      <c r="D8" s="70">
        <v>1341</v>
      </c>
      <c r="E8" s="70">
        <f t="shared" si="0"/>
        <v>2703</v>
      </c>
      <c r="F8" s="79">
        <v>340</v>
      </c>
      <c r="G8" s="78">
        <f t="shared" si="3"/>
        <v>227</v>
      </c>
      <c r="H8" s="76"/>
      <c r="I8" s="70"/>
      <c r="J8" s="71">
        <f t="shared" si="1"/>
        <v>0.59964726631393295</v>
      </c>
      <c r="K8" s="71">
        <f t="shared" si="2"/>
        <v>0.400352733686067</v>
      </c>
    </row>
    <row r="9" spans="1:11" ht="30" customHeight="1" x14ac:dyDescent="0.25">
      <c r="A9" s="70" t="s">
        <v>78</v>
      </c>
      <c r="B9" s="70">
        <v>535</v>
      </c>
      <c r="C9" s="70">
        <v>1322</v>
      </c>
      <c r="D9" s="70">
        <v>1293</v>
      </c>
      <c r="E9" s="70">
        <f t="shared" si="0"/>
        <v>2615</v>
      </c>
      <c r="F9" s="79">
        <v>425</v>
      </c>
      <c r="G9" s="78">
        <f t="shared" si="3"/>
        <v>110</v>
      </c>
      <c r="H9" s="76"/>
      <c r="I9" s="70"/>
      <c r="J9" s="71">
        <f t="shared" si="1"/>
        <v>0.79439252336448596</v>
      </c>
      <c r="K9" s="71">
        <f t="shared" si="2"/>
        <v>0.20560747663551401</v>
      </c>
    </row>
    <row r="10" spans="1:11" ht="26.25" customHeight="1" x14ac:dyDescent="0.25">
      <c r="A10" s="70"/>
      <c r="B10" s="70"/>
      <c r="C10" s="70"/>
      <c r="D10" s="70"/>
      <c r="E10" s="70"/>
      <c r="F10" s="93"/>
      <c r="G10" s="78"/>
      <c r="H10" s="76"/>
      <c r="I10" s="70"/>
      <c r="J10" s="71"/>
      <c r="K10" s="71"/>
    </row>
    <row r="11" spans="1:11" ht="30" customHeight="1" x14ac:dyDescent="0.25">
      <c r="A11" s="70" t="s">
        <v>79</v>
      </c>
      <c r="B11" s="70">
        <v>1957</v>
      </c>
      <c r="C11" s="70">
        <v>4049</v>
      </c>
      <c r="D11" s="70">
        <v>3973</v>
      </c>
      <c r="E11" s="70">
        <f>D11+C11</f>
        <v>8022</v>
      </c>
      <c r="F11" s="79">
        <v>1330</v>
      </c>
      <c r="G11" s="78">
        <f>B11-F11</f>
        <v>627</v>
      </c>
      <c r="H11" s="76">
        <v>19</v>
      </c>
      <c r="I11" s="70">
        <v>18</v>
      </c>
      <c r="J11" s="71">
        <f>F11/B11</f>
        <v>0.67961165048543692</v>
      </c>
      <c r="K11" s="71">
        <f>G11/B11</f>
        <v>0.32038834951456313</v>
      </c>
    </row>
    <row r="12" spans="1:11" ht="30" customHeight="1" x14ac:dyDescent="0.25">
      <c r="A12" s="70" t="s">
        <v>80</v>
      </c>
      <c r="B12" s="70">
        <v>1279</v>
      </c>
      <c r="C12" s="70">
        <v>2672</v>
      </c>
      <c r="D12" s="70">
        <v>2403</v>
      </c>
      <c r="E12" s="70">
        <f>D12+C12</f>
        <v>5075</v>
      </c>
      <c r="F12" s="79">
        <v>930</v>
      </c>
      <c r="G12" s="78">
        <f>B12-F12</f>
        <v>349</v>
      </c>
      <c r="H12" s="76"/>
      <c r="I12" s="70"/>
      <c r="J12" s="71">
        <f>F12/B12</f>
        <v>0.72713057075840504</v>
      </c>
      <c r="K12" s="71">
        <f>G12/B12</f>
        <v>0.27286942924159502</v>
      </c>
    </row>
    <row r="13" spans="1:11" ht="30" customHeight="1" x14ac:dyDescent="0.25">
      <c r="A13" s="70"/>
      <c r="B13" s="70"/>
      <c r="C13" s="70"/>
      <c r="D13" s="70"/>
      <c r="E13" s="70"/>
      <c r="F13" s="93"/>
      <c r="G13" s="78"/>
      <c r="H13" s="76"/>
      <c r="I13" s="70"/>
      <c r="J13" s="71"/>
      <c r="K13" s="71"/>
    </row>
    <row r="14" spans="1:11" ht="30" customHeight="1" x14ac:dyDescent="0.25">
      <c r="A14" s="70" t="s">
        <v>81</v>
      </c>
      <c r="B14" s="70">
        <v>1077</v>
      </c>
      <c r="C14" s="70">
        <v>2761</v>
      </c>
      <c r="D14" s="70">
        <v>2615</v>
      </c>
      <c r="E14" s="70">
        <f>D14+C14</f>
        <v>5376</v>
      </c>
      <c r="F14" s="79">
        <v>780</v>
      </c>
      <c r="G14" s="78">
        <f>B14-F14</f>
        <v>297</v>
      </c>
      <c r="H14" s="76">
        <v>21</v>
      </c>
      <c r="I14" s="70">
        <v>30</v>
      </c>
      <c r="J14" s="71">
        <f>F14/B14</f>
        <v>0.72423398328690802</v>
      </c>
      <c r="K14" s="71">
        <f>G14/B14</f>
        <v>0.27576601671309192</v>
      </c>
    </row>
    <row r="15" spans="1:11" ht="30" customHeight="1" x14ac:dyDescent="0.25">
      <c r="A15" s="70" t="s">
        <v>82</v>
      </c>
      <c r="B15" s="70">
        <v>1690</v>
      </c>
      <c r="C15" s="70">
        <v>4001</v>
      </c>
      <c r="D15" s="70">
        <v>4048</v>
      </c>
      <c r="E15" s="70">
        <f>D15+C15</f>
        <v>8049</v>
      </c>
      <c r="F15" s="79">
        <v>980</v>
      </c>
      <c r="G15" s="78">
        <f t="shared" ref="G15:G16" si="4">B15-F15</f>
        <v>710</v>
      </c>
      <c r="H15" s="76"/>
      <c r="I15" s="70"/>
      <c r="J15" s="71">
        <f t="shared" ref="J15:J16" si="5">F15/B15</f>
        <v>0.57988165680473369</v>
      </c>
      <c r="K15" s="71">
        <f t="shared" ref="K15:K16" si="6">G15/B15</f>
        <v>0.42011834319526625</v>
      </c>
    </row>
    <row r="16" spans="1:11" ht="30" customHeight="1" x14ac:dyDescent="0.25">
      <c r="A16" s="70" t="s">
        <v>83</v>
      </c>
      <c r="B16" s="70">
        <v>766</v>
      </c>
      <c r="C16" s="70">
        <v>1937</v>
      </c>
      <c r="D16" s="70">
        <v>1920</v>
      </c>
      <c r="E16" s="70">
        <f>D16+C16</f>
        <v>3857</v>
      </c>
      <c r="F16" s="79">
        <v>586</v>
      </c>
      <c r="G16" s="78">
        <f t="shared" si="4"/>
        <v>180</v>
      </c>
      <c r="H16" s="76"/>
      <c r="I16" s="70"/>
      <c r="J16" s="71">
        <f t="shared" si="5"/>
        <v>0.76501305483028725</v>
      </c>
      <c r="K16" s="71">
        <f t="shared" si="6"/>
        <v>0.2349869451697128</v>
      </c>
    </row>
    <row r="17" spans="1:11" ht="30" customHeight="1" x14ac:dyDescent="0.25">
      <c r="A17" s="70"/>
      <c r="B17" s="70"/>
      <c r="C17" s="70"/>
      <c r="D17" s="70"/>
      <c r="E17" s="70"/>
      <c r="F17" s="93"/>
      <c r="G17" s="78"/>
      <c r="H17" s="76"/>
      <c r="I17" s="70"/>
      <c r="J17" s="71"/>
      <c r="K17" s="71"/>
    </row>
    <row r="18" spans="1:11" ht="30" customHeight="1" x14ac:dyDescent="0.25">
      <c r="A18" s="70" t="s">
        <v>85</v>
      </c>
      <c r="B18" s="70">
        <v>1423</v>
      </c>
      <c r="C18" s="70">
        <v>3593</v>
      </c>
      <c r="D18" s="70">
        <v>3435</v>
      </c>
      <c r="E18" s="70">
        <f t="shared" ref="E18:E26" si="7">D18+C18</f>
        <v>7028</v>
      </c>
      <c r="F18" s="79">
        <v>860</v>
      </c>
      <c r="G18" s="78">
        <f t="shared" ref="G18:G26" si="8">B18-F18</f>
        <v>563</v>
      </c>
      <c r="H18" s="76">
        <v>24</v>
      </c>
      <c r="I18" s="70">
        <v>40</v>
      </c>
      <c r="J18" s="71">
        <f t="shared" ref="J18:J26" si="9">F18/B18</f>
        <v>0.6043569922698524</v>
      </c>
      <c r="K18" s="71">
        <f t="shared" ref="K18:K26" si="10">G18/B18</f>
        <v>0.3956430077301476</v>
      </c>
    </row>
    <row r="19" spans="1:11" ht="30" customHeight="1" x14ac:dyDescent="0.25">
      <c r="A19" s="70" t="s">
        <v>84</v>
      </c>
      <c r="B19" s="70">
        <v>1490</v>
      </c>
      <c r="C19" s="70">
        <v>3606</v>
      </c>
      <c r="D19" s="70">
        <v>3449</v>
      </c>
      <c r="E19" s="70">
        <f t="shared" si="7"/>
        <v>7055</v>
      </c>
      <c r="F19" s="79">
        <v>870</v>
      </c>
      <c r="G19" s="78">
        <f t="shared" si="8"/>
        <v>620</v>
      </c>
      <c r="H19" s="76"/>
      <c r="I19" s="70"/>
      <c r="J19" s="71">
        <f t="shared" si="9"/>
        <v>0.58389261744966447</v>
      </c>
      <c r="K19" s="71">
        <f t="shared" si="10"/>
        <v>0.41610738255033558</v>
      </c>
    </row>
    <row r="20" spans="1:11" ht="30" customHeight="1" x14ac:dyDescent="0.25">
      <c r="A20" s="70" t="s">
        <v>86</v>
      </c>
      <c r="B20" s="70">
        <v>468</v>
      </c>
      <c r="C20" s="70">
        <v>1107</v>
      </c>
      <c r="D20" s="70">
        <v>1155</v>
      </c>
      <c r="E20" s="70">
        <f t="shared" si="7"/>
        <v>2262</v>
      </c>
      <c r="F20" s="79">
        <v>390</v>
      </c>
      <c r="G20" s="78">
        <f t="shared" si="8"/>
        <v>78</v>
      </c>
      <c r="H20" s="76"/>
      <c r="I20" s="70"/>
      <c r="J20" s="71">
        <f t="shared" si="9"/>
        <v>0.83333333333333337</v>
      </c>
      <c r="K20" s="71">
        <f t="shared" si="10"/>
        <v>0.16666666666666666</v>
      </c>
    </row>
    <row r="21" spans="1:11" ht="30" customHeight="1" x14ac:dyDescent="0.25">
      <c r="A21" s="70" t="s">
        <v>87</v>
      </c>
      <c r="B21" s="70">
        <v>208</v>
      </c>
      <c r="C21" s="70">
        <v>568</v>
      </c>
      <c r="D21" s="70">
        <v>558</v>
      </c>
      <c r="E21" s="70">
        <f t="shared" si="7"/>
        <v>1126</v>
      </c>
      <c r="F21" s="79">
        <v>155</v>
      </c>
      <c r="G21" s="78">
        <f t="shared" si="8"/>
        <v>53</v>
      </c>
      <c r="H21" s="76"/>
      <c r="I21" s="70"/>
      <c r="J21" s="71">
        <f t="shared" si="9"/>
        <v>0.74519230769230771</v>
      </c>
      <c r="K21" s="71">
        <f t="shared" si="10"/>
        <v>0.25480769230769229</v>
      </c>
    </row>
    <row r="22" spans="1:11" ht="30" customHeight="1" x14ac:dyDescent="0.25">
      <c r="A22" s="70" t="s">
        <v>88</v>
      </c>
      <c r="B22" s="70">
        <v>338</v>
      </c>
      <c r="C22" s="70">
        <v>753</v>
      </c>
      <c r="D22" s="70">
        <v>721</v>
      </c>
      <c r="E22" s="70">
        <f t="shared" si="7"/>
        <v>1474</v>
      </c>
      <c r="F22" s="79">
        <v>160</v>
      </c>
      <c r="G22" s="78">
        <f t="shared" si="8"/>
        <v>178</v>
      </c>
      <c r="H22" s="76"/>
      <c r="I22" s="70"/>
      <c r="J22" s="71">
        <f t="shared" si="9"/>
        <v>0.47337278106508873</v>
      </c>
      <c r="K22" s="71">
        <f t="shared" si="10"/>
        <v>0.52662721893491127</v>
      </c>
    </row>
    <row r="23" spans="1:11" ht="30" customHeight="1" x14ac:dyDescent="0.25">
      <c r="A23" s="70" t="s">
        <v>89</v>
      </c>
      <c r="B23" s="70">
        <v>564</v>
      </c>
      <c r="C23" s="70">
        <v>1332</v>
      </c>
      <c r="D23" s="70">
        <v>1367</v>
      </c>
      <c r="E23" s="70">
        <f t="shared" si="7"/>
        <v>2699</v>
      </c>
      <c r="F23" s="79">
        <v>435</v>
      </c>
      <c r="G23" s="78">
        <f t="shared" si="8"/>
        <v>129</v>
      </c>
      <c r="H23" s="76"/>
      <c r="I23" s="70"/>
      <c r="J23" s="71">
        <f t="shared" si="9"/>
        <v>0.77127659574468088</v>
      </c>
      <c r="K23" s="71">
        <f t="shared" si="10"/>
        <v>0.22872340425531915</v>
      </c>
    </row>
    <row r="24" spans="1:11" ht="30" customHeight="1" x14ac:dyDescent="0.25">
      <c r="A24" s="70" t="s">
        <v>90</v>
      </c>
      <c r="B24" s="70">
        <v>895</v>
      </c>
      <c r="C24" s="70">
        <v>1548</v>
      </c>
      <c r="D24" s="70">
        <v>1480</v>
      </c>
      <c r="E24" s="70">
        <f t="shared" si="7"/>
        <v>3028</v>
      </c>
      <c r="F24" s="79">
        <v>685</v>
      </c>
      <c r="G24" s="78">
        <f t="shared" si="8"/>
        <v>210</v>
      </c>
      <c r="H24" s="76"/>
      <c r="I24" s="70"/>
      <c r="J24" s="71">
        <f t="shared" si="9"/>
        <v>0.76536312849162014</v>
      </c>
      <c r="K24" s="71">
        <f t="shared" si="10"/>
        <v>0.23463687150837989</v>
      </c>
    </row>
    <row r="25" spans="1:11" ht="30" customHeight="1" x14ac:dyDescent="0.25">
      <c r="A25" s="70" t="s">
        <v>91</v>
      </c>
      <c r="B25" s="70">
        <v>344</v>
      </c>
      <c r="C25" s="70">
        <v>845</v>
      </c>
      <c r="D25" s="70">
        <v>780</v>
      </c>
      <c r="E25" s="70">
        <f t="shared" si="7"/>
        <v>1625</v>
      </c>
      <c r="F25" s="79">
        <v>295</v>
      </c>
      <c r="G25" s="78">
        <f t="shared" si="8"/>
        <v>49</v>
      </c>
      <c r="H25" s="76"/>
      <c r="I25" s="70"/>
      <c r="J25" s="71">
        <f t="shared" si="9"/>
        <v>0.85755813953488369</v>
      </c>
      <c r="K25" s="71">
        <f t="shared" si="10"/>
        <v>0.14244186046511628</v>
      </c>
    </row>
    <row r="26" spans="1:11" ht="30" customHeight="1" x14ac:dyDescent="0.25">
      <c r="A26" s="70" t="s">
        <v>92</v>
      </c>
      <c r="B26" s="70">
        <v>706</v>
      </c>
      <c r="C26" s="70">
        <v>1731</v>
      </c>
      <c r="D26" s="70">
        <v>1529</v>
      </c>
      <c r="E26" s="70">
        <f t="shared" si="7"/>
        <v>3260</v>
      </c>
      <c r="F26" s="79">
        <v>620</v>
      </c>
      <c r="G26" s="78">
        <f t="shared" si="8"/>
        <v>86</v>
      </c>
      <c r="H26" s="76"/>
      <c r="I26" s="70"/>
      <c r="J26" s="71">
        <f t="shared" si="9"/>
        <v>0.87818696883852687</v>
      </c>
      <c r="K26" s="71">
        <f t="shared" si="10"/>
        <v>0.12181303116147309</v>
      </c>
    </row>
    <row r="27" spans="1:11" ht="30" customHeight="1" x14ac:dyDescent="0.25">
      <c r="A27" s="70"/>
      <c r="B27" s="70"/>
      <c r="C27" s="70"/>
      <c r="D27" s="70"/>
      <c r="E27" s="70"/>
      <c r="F27" s="79">
        <f>SUM(F18:F26)</f>
        <v>4470</v>
      </c>
      <c r="G27" s="78"/>
      <c r="H27" s="76"/>
      <c r="I27" s="70"/>
      <c r="J27" s="71"/>
      <c r="K27" s="71"/>
    </row>
    <row r="28" spans="1:11" ht="30" customHeight="1" x14ac:dyDescent="0.25">
      <c r="A28" s="70" t="s">
        <v>7</v>
      </c>
      <c r="B28" s="70">
        <f t="shared" ref="B28:G28" si="11">SUM(B3:B26)</f>
        <v>17844</v>
      </c>
      <c r="C28" s="70">
        <f t="shared" si="11"/>
        <v>41557</v>
      </c>
      <c r="D28" s="70">
        <f t="shared" si="11"/>
        <v>40156</v>
      </c>
      <c r="E28" s="70">
        <f t="shared" si="11"/>
        <v>81713</v>
      </c>
      <c r="F28" s="79">
        <f t="shared" si="11"/>
        <v>12549</v>
      </c>
      <c r="G28" s="78">
        <f t="shared" si="11"/>
        <v>5295</v>
      </c>
      <c r="H28" s="76">
        <f>SUM(H3:H18)</f>
        <v>88</v>
      </c>
      <c r="I28" s="70">
        <f>SUM(I3:I18)</f>
        <v>119</v>
      </c>
      <c r="J28" s="92">
        <f>F28/B28</f>
        <v>0.70326160053799591</v>
      </c>
      <c r="K28" s="71">
        <f>G28/B28</f>
        <v>0.29673839946200403</v>
      </c>
    </row>
    <row r="29" spans="1:11" x14ac:dyDescent="0.25">
      <c r="A29" s="301" t="s">
        <v>66</v>
      </c>
      <c r="B29" s="302"/>
      <c r="C29" s="302"/>
      <c r="D29" s="302"/>
      <c r="E29" s="303"/>
      <c r="F29" s="307">
        <f>F28/B28</f>
        <v>0.70326160053799591</v>
      </c>
      <c r="G29" s="309">
        <f>G28/B28</f>
        <v>0.29673839946200403</v>
      </c>
    </row>
    <row r="30" spans="1:11" x14ac:dyDescent="0.25">
      <c r="A30" s="304"/>
      <c r="B30" s="305"/>
      <c r="C30" s="305"/>
      <c r="D30" s="305"/>
      <c r="E30" s="306"/>
      <c r="F30" s="308"/>
      <c r="G30" s="310"/>
    </row>
    <row r="34" spans="6:6" x14ac:dyDescent="0.25">
      <c r="F34" t="s">
        <v>93</v>
      </c>
    </row>
  </sheetData>
  <mergeCells count="3">
    <mergeCell ref="A29:E30"/>
    <mergeCell ref="F29:F30"/>
    <mergeCell ref="G29:G30"/>
  </mergeCells>
  <pageMargins left="0.7" right="0.7" top="0.75" bottom="0.75" header="0.3" footer="0.3"/>
  <pageSetup paperSize="9" orientation="portrait" horizontalDpi="0"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F662D9-F954-459E-BE88-6FDA8BAD45D0}">
  <dimension ref="B1:R147"/>
  <sheetViews>
    <sheetView topLeftCell="A112" zoomScale="80" zoomScaleNormal="80" workbookViewId="0">
      <selection activeCell="G37" sqref="G37"/>
    </sheetView>
  </sheetViews>
  <sheetFormatPr defaultRowHeight="15" x14ac:dyDescent="0.25"/>
  <cols>
    <col min="3" max="3" width="56.42578125" customWidth="1"/>
    <col min="4" max="4" width="23.140625" customWidth="1"/>
    <col min="5" max="5" width="23" customWidth="1"/>
    <col min="6" max="6" width="26.7109375" customWidth="1"/>
    <col min="7" max="7" width="28.140625" customWidth="1"/>
    <col min="8" max="8" width="24" customWidth="1"/>
    <col min="9" max="9" width="25.85546875" customWidth="1"/>
    <col min="10" max="10" width="23.42578125" customWidth="1"/>
    <col min="11" max="11" width="26.7109375" customWidth="1"/>
    <col min="12" max="12" width="31.42578125" customWidth="1"/>
  </cols>
  <sheetData>
    <row r="1" spans="2:12" ht="23.25" x14ac:dyDescent="0.35">
      <c r="B1" s="96"/>
      <c r="C1" s="96"/>
      <c r="D1" s="96"/>
      <c r="E1" s="96"/>
      <c r="F1" s="96"/>
      <c r="G1" s="96"/>
      <c r="H1" s="96"/>
      <c r="I1" s="96"/>
      <c r="J1" s="96"/>
      <c r="K1" s="96"/>
      <c r="L1" s="96"/>
    </row>
    <row r="2" spans="2:12" ht="23.25" x14ac:dyDescent="0.35">
      <c r="B2" s="96"/>
      <c r="C2" s="96"/>
      <c r="D2" s="96"/>
      <c r="E2" s="96"/>
      <c r="F2" s="96"/>
      <c r="G2" s="96"/>
      <c r="H2" s="96"/>
      <c r="I2" s="96"/>
      <c r="J2" s="96"/>
      <c r="K2" s="96"/>
      <c r="L2" s="96"/>
    </row>
    <row r="3" spans="2:12" ht="23.25" x14ac:dyDescent="0.35">
      <c r="B3" s="96"/>
      <c r="C3" s="96"/>
      <c r="D3" s="96"/>
      <c r="E3" s="96"/>
      <c r="F3" s="96"/>
      <c r="G3" s="96"/>
      <c r="H3" s="96"/>
      <c r="I3" s="96"/>
      <c r="J3" s="96"/>
      <c r="K3" s="96"/>
      <c r="L3" s="96"/>
    </row>
    <row r="4" spans="2:12" ht="23.25" x14ac:dyDescent="0.35">
      <c r="B4" s="96"/>
      <c r="C4" s="96"/>
      <c r="D4" s="96"/>
      <c r="E4" s="96"/>
      <c r="F4" s="96"/>
      <c r="G4" s="96"/>
      <c r="H4" s="96"/>
      <c r="I4" s="96"/>
      <c r="J4" s="96"/>
      <c r="K4" s="96"/>
      <c r="L4" s="96"/>
    </row>
    <row r="5" spans="2:12" ht="23.25" x14ac:dyDescent="0.35">
      <c r="B5" s="96"/>
      <c r="C5" s="96"/>
      <c r="D5" s="96"/>
      <c r="E5" s="96"/>
      <c r="F5" s="96"/>
      <c r="G5" s="96"/>
      <c r="H5" s="96"/>
      <c r="I5" s="96"/>
      <c r="J5" s="96"/>
      <c r="K5" s="96"/>
      <c r="L5" s="96"/>
    </row>
    <row r="6" spans="2:12" ht="29.25" customHeight="1" x14ac:dyDescent="0.35">
      <c r="B6" s="96"/>
      <c r="C6" s="96"/>
      <c r="D6" s="96"/>
      <c r="E6" s="96"/>
      <c r="F6" s="96"/>
      <c r="G6" s="96"/>
      <c r="H6" s="96"/>
      <c r="I6" s="96"/>
      <c r="J6" s="96"/>
      <c r="K6" s="96"/>
      <c r="L6" s="96"/>
    </row>
    <row r="7" spans="2:12" ht="23.25" x14ac:dyDescent="0.35">
      <c r="B7" s="374" t="s">
        <v>286</v>
      </c>
      <c r="C7" s="374"/>
      <c r="D7" s="374"/>
      <c r="E7" s="374"/>
      <c r="F7" s="374"/>
      <c r="G7" s="374"/>
      <c r="H7" s="374"/>
      <c r="I7" s="374"/>
      <c r="J7" s="374"/>
      <c r="K7" s="374"/>
      <c r="L7" s="374"/>
    </row>
    <row r="8" spans="2:12" ht="37.5" customHeight="1" x14ac:dyDescent="0.35">
      <c r="B8" s="375" t="s">
        <v>277</v>
      </c>
      <c r="C8" s="376"/>
      <c r="D8" s="376"/>
      <c r="E8" s="376"/>
      <c r="F8" s="376"/>
      <c r="G8" s="376"/>
      <c r="H8" s="376"/>
      <c r="I8" s="376"/>
      <c r="J8" s="376"/>
      <c r="K8" s="376"/>
      <c r="L8" s="377"/>
    </row>
    <row r="9" spans="2:12" ht="37.5" customHeight="1" x14ac:dyDescent="0.35">
      <c r="B9" s="319" t="s">
        <v>188</v>
      </c>
      <c r="C9" s="319" t="s">
        <v>189</v>
      </c>
      <c r="D9" s="365" t="s">
        <v>190</v>
      </c>
      <c r="E9" s="366"/>
      <c r="F9" s="379" t="s">
        <v>191</v>
      </c>
      <c r="G9" s="319" t="s">
        <v>192</v>
      </c>
      <c r="H9" s="378" t="s">
        <v>197</v>
      </c>
      <c r="I9" s="378"/>
      <c r="J9" s="378"/>
      <c r="K9" s="378"/>
      <c r="L9" s="230"/>
    </row>
    <row r="10" spans="2:12" ht="37.5" customHeight="1" x14ac:dyDescent="0.35">
      <c r="B10" s="316"/>
      <c r="C10" s="316"/>
      <c r="D10" s="367"/>
      <c r="E10" s="368"/>
      <c r="F10" s="317"/>
      <c r="G10" s="316"/>
      <c r="H10" s="251" t="s">
        <v>193</v>
      </c>
      <c r="I10" s="251" t="s">
        <v>194</v>
      </c>
      <c r="J10" s="251" t="s">
        <v>195</v>
      </c>
      <c r="K10" s="251" t="s">
        <v>196</v>
      </c>
      <c r="L10" s="251" t="s">
        <v>139</v>
      </c>
    </row>
    <row r="11" spans="2:12" s="88" customFormat="1" ht="37.5" customHeight="1" x14ac:dyDescent="0.25">
      <c r="B11" s="228">
        <v>1</v>
      </c>
      <c r="C11" s="228" t="s">
        <v>198</v>
      </c>
      <c r="D11" s="362">
        <v>4</v>
      </c>
      <c r="E11" s="363"/>
      <c r="F11" s="231">
        <v>2.5</v>
      </c>
      <c r="G11" s="232">
        <f>F11*D11</f>
        <v>10</v>
      </c>
      <c r="H11" s="231">
        <v>10</v>
      </c>
      <c r="I11" s="231">
        <v>10</v>
      </c>
      <c r="J11" s="231">
        <v>10</v>
      </c>
      <c r="K11" s="231">
        <v>10</v>
      </c>
      <c r="L11" s="233">
        <f>H11+I11+J11+K11</f>
        <v>40</v>
      </c>
    </row>
    <row r="12" spans="2:12" s="88" customFormat="1" ht="37.5" customHeight="1" x14ac:dyDescent="0.25">
      <c r="B12" s="228">
        <v>2</v>
      </c>
      <c r="C12" s="228" t="s">
        <v>199</v>
      </c>
      <c r="D12" s="362">
        <v>10</v>
      </c>
      <c r="E12" s="363"/>
      <c r="F12" s="231">
        <v>1</v>
      </c>
      <c r="G12" s="232">
        <f>F12*D12</f>
        <v>10</v>
      </c>
      <c r="H12" s="231">
        <v>10</v>
      </c>
      <c r="I12" s="231">
        <v>10</v>
      </c>
      <c r="J12" s="231">
        <v>10</v>
      </c>
      <c r="K12" s="231">
        <v>10</v>
      </c>
      <c r="L12" s="233">
        <f t="shared" ref="L12:L14" si="0">H12+I12+J12+K12</f>
        <v>40</v>
      </c>
    </row>
    <row r="13" spans="2:12" s="88" customFormat="1" ht="37.5" customHeight="1" x14ac:dyDescent="0.25">
      <c r="B13" s="228">
        <v>3</v>
      </c>
      <c r="C13" s="228" t="s">
        <v>200</v>
      </c>
      <c r="D13" s="362">
        <v>4</v>
      </c>
      <c r="E13" s="363"/>
      <c r="F13" s="231">
        <v>1</v>
      </c>
      <c r="G13" s="232">
        <f>F13*D13</f>
        <v>4</v>
      </c>
      <c r="H13" s="231">
        <v>4</v>
      </c>
      <c r="I13" s="231">
        <v>4</v>
      </c>
      <c r="J13" s="231">
        <v>4</v>
      </c>
      <c r="K13" s="231">
        <v>4</v>
      </c>
      <c r="L13" s="233">
        <f>H13+I13+J13+K13</f>
        <v>16</v>
      </c>
    </row>
    <row r="14" spans="2:12" s="88" customFormat="1" ht="37.5" customHeight="1" x14ac:dyDescent="0.25">
      <c r="B14" s="228">
        <v>4</v>
      </c>
      <c r="C14" s="228" t="s">
        <v>201</v>
      </c>
      <c r="D14" s="362">
        <v>4</v>
      </c>
      <c r="E14" s="363"/>
      <c r="F14" s="231">
        <v>4</v>
      </c>
      <c r="G14" s="232">
        <f>F14*D14</f>
        <v>16</v>
      </c>
      <c r="H14" s="231">
        <v>16</v>
      </c>
      <c r="I14" s="231">
        <v>16</v>
      </c>
      <c r="J14" s="231">
        <v>16</v>
      </c>
      <c r="K14" s="231">
        <v>16</v>
      </c>
      <c r="L14" s="233">
        <f t="shared" si="0"/>
        <v>64</v>
      </c>
    </row>
    <row r="15" spans="2:12" s="88" customFormat="1" ht="37.5" customHeight="1" x14ac:dyDescent="0.25">
      <c r="B15" s="359" t="s">
        <v>7</v>
      </c>
      <c r="C15" s="360"/>
      <c r="D15" s="360"/>
      <c r="E15" s="360"/>
      <c r="F15" s="360"/>
      <c r="G15" s="360"/>
      <c r="H15" s="253">
        <f>SUM(H11:H14)</f>
        <v>40</v>
      </c>
      <c r="I15" s="253">
        <f t="shared" ref="I15:K15" si="1">SUM(I11:I14)</f>
        <v>40</v>
      </c>
      <c r="J15" s="253">
        <f t="shared" si="1"/>
        <v>40</v>
      </c>
      <c r="K15" s="253">
        <f t="shared" si="1"/>
        <v>40</v>
      </c>
      <c r="L15" s="250">
        <f>SUM(L11:L14)</f>
        <v>160</v>
      </c>
    </row>
    <row r="16" spans="2:12" s="88" customFormat="1" ht="23.25" x14ac:dyDescent="0.25">
      <c r="B16" s="98"/>
      <c r="C16" s="98"/>
      <c r="D16" s="98"/>
      <c r="E16" s="98"/>
      <c r="F16" s="234"/>
      <c r="G16" s="235"/>
      <c r="H16" s="98"/>
      <c r="I16" s="98"/>
      <c r="J16" s="98"/>
      <c r="K16" s="98"/>
      <c r="L16" s="98"/>
    </row>
    <row r="17" spans="2:15" s="88" customFormat="1" ht="23.25" x14ac:dyDescent="0.25">
      <c r="B17" s="371" t="s">
        <v>202</v>
      </c>
      <c r="C17" s="372"/>
      <c r="D17" s="372"/>
      <c r="E17" s="372"/>
      <c r="F17" s="372"/>
      <c r="G17" s="372"/>
      <c r="H17" s="372"/>
      <c r="I17" s="372"/>
      <c r="J17" s="372"/>
      <c r="K17" s="372"/>
      <c r="L17" s="373"/>
    </row>
    <row r="18" spans="2:15" s="88" customFormat="1" ht="35.25" customHeight="1" x14ac:dyDescent="0.35">
      <c r="B18" s="316" t="s">
        <v>188</v>
      </c>
      <c r="C18" s="316" t="s">
        <v>189</v>
      </c>
      <c r="D18" s="365" t="s">
        <v>190</v>
      </c>
      <c r="E18" s="366"/>
      <c r="F18" s="317" t="s">
        <v>191</v>
      </c>
      <c r="G18" s="316" t="s">
        <v>192</v>
      </c>
      <c r="H18" s="369" t="s">
        <v>197</v>
      </c>
      <c r="I18" s="369"/>
      <c r="J18" s="369"/>
      <c r="K18" s="369"/>
      <c r="L18" s="236"/>
    </row>
    <row r="19" spans="2:15" s="88" customFormat="1" ht="35.25" customHeight="1" x14ac:dyDescent="0.35">
      <c r="B19" s="316"/>
      <c r="C19" s="316"/>
      <c r="D19" s="367"/>
      <c r="E19" s="368"/>
      <c r="F19" s="317"/>
      <c r="G19" s="316"/>
      <c r="H19" s="251" t="s">
        <v>193</v>
      </c>
      <c r="I19" s="251" t="s">
        <v>194</v>
      </c>
      <c r="J19" s="251" t="s">
        <v>195</v>
      </c>
      <c r="K19" s="251" t="s">
        <v>196</v>
      </c>
      <c r="L19" s="251" t="s">
        <v>139</v>
      </c>
    </row>
    <row r="20" spans="2:15" s="88" customFormat="1" ht="35.25" customHeight="1" x14ac:dyDescent="0.25">
      <c r="B20" s="228">
        <v>1</v>
      </c>
      <c r="C20" s="228" t="s">
        <v>203</v>
      </c>
      <c r="D20" s="362">
        <v>1</v>
      </c>
      <c r="E20" s="363"/>
      <c r="F20" s="231">
        <v>25</v>
      </c>
      <c r="G20" s="232">
        <f>F20*D20</f>
        <v>25</v>
      </c>
      <c r="H20" s="231">
        <f>G20</f>
        <v>25</v>
      </c>
      <c r="I20" s="231">
        <f>G20</f>
        <v>25</v>
      </c>
      <c r="J20" s="231">
        <f>H20</f>
        <v>25</v>
      </c>
      <c r="K20" s="231">
        <f>G20</f>
        <v>25</v>
      </c>
      <c r="L20" s="233">
        <f>H20+I20+J20+K20</f>
        <v>100</v>
      </c>
    </row>
    <row r="21" spans="2:15" s="88" customFormat="1" ht="35.25" customHeight="1" x14ac:dyDescent="0.25">
      <c r="B21" s="228">
        <v>2</v>
      </c>
      <c r="C21" s="228" t="s">
        <v>204</v>
      </c>
      <c r="D21" s="362">
        <v>4</v>
      </c>
      <c r="E21" s="363"/>
      <c r="F21" s="231">
        <v>2.5</v>
      </c>
      <c r="G21" s="232">
        <f>F21*D21</f>
        <v>10</v>
      </c>
      <c r="H21" s="231">
        <f>G21</f>
        <v>10</v>
      </c>
      <c r="I21" s="231">
        <f>G21</f>
        <v>10</v>
      </c>
      <c r="J21" s="231">
        <f>G21</f>
        <v>10</v>
      </c>
      <c r="K21" s="231">
        <f>G21</f>
        <v>10</v>
      </c>
      <c r="L21" s="233">
        <f>H21+I21+J21+K21</f>
        <v>40</v>
      </c>
    </row>
    <row r="22" spans="2:15" s="88" customFormat="1" ht="35.25" customHeight="1" x14ac:dyDescent="0.25">
      <c r="B22" s="228">
        <v>3</v>
      </c>
      <c r="C22" s="228" t="s">
        <v>206</v>
      </c>
      <c r="D22" s="362">
        <v>5</v>
      </c>
      <c r="E22" s="363"/>
      <c r="F22" s="231">
        <v>1</v>
      </c>
      <c r="G22" s="232">
        <f>F22*D22</f>
        <v>5</v>
      </c>
      <c r="H22" s="231">
        <f>G22</f>
        <v>5</v>
      </c>
      <c r="I22" s="231">
        <f>G22</f>
        <v>5</v>
      </c>
      <c r="J22" s="231">
        <f>G22</f>
        <v>5</v>
      </c>
      <c r="K22" s="231">
        <f>G22</f>
        <v>5</v>
      </c>
      <c r="L22" s="233">
        <f>H22+I22+J22+K22</f>
        <v>20</v>
      </c>
    </row>
    <row r="23" spans="2:15" s="88" customFormat="1" ht="35.25" customHeight="1" x14ac:dyDescent="0.25">
      <c r="B23" s="228">
        <v>4</v>
      </c>
      <c r="C23" s="228" t="s">
        <v>205</v>
      </c>
      <c r="D23" s="362">
        <v>1</v>
      </c>
      <c r="E23" s="363"/>
      <c r="F23" s="231">
        <v>80</v>
      </c>
      <c r="G23" s="232">
        <f>F23*D23</f>
        <v>80</v>
      </c>
      <c r="H23" s="231">
        <f t="shared" ref="H23" si="2">G23</f>
        <v>80</v>
      </c>
      <c r="I23" s="231">
        <f t="shared" ref="I23" si="3">G23</f>
        <v>80</v>
      </c>
      <c r="J23" s="231">
        <f t="shared" ref="J23" si="4">G23</f>
        <v>80</v>
      </c>
      <c r="K23" s="231">
        <f t="shared" ref="K23" si="5">G23</f>
        <v>80</v>
      </c>
      <c r="L23" s="233">
        <f>H23+I23+J23+K23</f>
        <v>320</v>
      </c>
    </row>
    <row r="24" spans="2:15" s="88" customFormat="1" ht="35.25" customHeight="1" x14ac:dyDescent="0.25">
      <c r="B24" s="359" t="s">
        <v>7</v>
      </c>
      <c r="C24" s="360"/>
      <c r="D24" s="360"/>
      <c r="E24" s="360"/>
      <c r="F24" s="360"/>
      <c r="G24" s="360"/>
      <c r="H24" s="253">
        <f>SUM(H20:H23)</f>
        <v>120</v>
      </c>
      <c r="I24" s="253">
        <f t="shared" ref="I24:K24" si="6">SUM(I20:I23)</f>
        <v>120</v>
      </c>
      <c r="J24" s="253">
        <f t="shared" si="6"/>
        <v>120</v>
      </c>
      <c r="K24" s="253">
        <f t="shared" si="6"/>
        <v>120</v>
      </c>
      <c r="L24" s="250">
        <f>SUM(L20:L23)</f>
        <v>480</v>
      </c>
    </row>
    <row r="25" spans="2:15" s="88" customFormat="1" ht="23.25" x14ac:dyDescent="0.25">
      <c r="B25" s="98"/>
      <c r="C25" s="98"/>
      <c r="D25" s="98"/>
      <c r="E25" s="98"/>
      <c r="F25" s="237"/>
      <c r="G25" s="235"/>
      <c r="H25" s="98"/>
      <c r="I25" s="98"/>
      <c r="J25" s="98"/>
      <c r="K25" s="98"/>
      <c r="L25" s="98"/>
    </row>
    <row r="26" spans="2:15" s="88" customFormat="1" ht="34.5" customHeight="1" x14ac:dyDescent="0.25">
      <c r="B26" s="371" t="s">
        <v>207</v>
      </c>
      <c r="C26" s="372"/>
      <c r="D26" s="372"/>
      <c r="E26" s="372"/>
      <c r="F26" s="372"/>
      <c r="G26" s="372"/>
      <c r="H26" s="372"/>
      <c r="I26" s="372"/>
      <c r="J26" s="372"/>
      <c r="K26" s="372"/>
      <c r="L26" s="373"/>
    </row>
    <row r="27" spans="2:15" s="88" customFormat="1" ht="34.5" customHeight="1" x14ac:dyDescent="0.35">
      <c r="B27" s="316" t="s">
        <v>188</v>
      </c>
      <c r="C27" s="316" t="s">
        <v>189</v>
      </c>
      <c r="D27" s="365" t="s">
        <v>190</v>
      </c>
      <c r="E27" s="366"/>
      <c r="F27" s="317" t="s">
        <v>191</v>
      </c>
      <c r="G27" s="316" t="s">
        <v>192</v>
      </c>
      <c r="H27" s="369" t="s">
        <v>197</v>
      </c>
      <c r="I27" s="369"/>
      <c r="J27" s="369"/>
      <c r="K27" s="369"/>
      <c r="L27" s="236"/>
    </row>
    <row r="28" spans="2:15" s="88" customFormat="1" ht="34.5" customHeight="1" x14ac:dyDescent="0.35">
      <c r="B28" s="316"/>
      <c r="C28" s="316"/>
      <c r="D28" s="367"/>
      <c r="E28" s="368"/>
      <c r="F28" s="317"/>
      <c r="G28" s="316"/>
      <c r="H28" s="251" t="s">
        <v>193</v>
      </c>
      <c r="I28" s="251" t="s">
        <v>194</v>
      </c>
      <c r="J28" s="251" t="s">
        <v>195</v>
      </c>
      <c r="K28" s="251" t="s">
        <v>196</v>
      </c>
      <c r="L28" s="251" t="s">
        <v>139</v>
      </c>
    </row>
    <row r="29" spans="2:15" s="88" customFormat="1" ht="34.5" customHeight="1" x14ac:dyDescent="0.25">
      <c r="B29" s="228">
        <v>1</v>
      </c>
      <c r="C29" s="228" t="s">
        <v>208</v>
      </c>
      <c r="D29" s="362">
        <v>1</v>
      </c>
      <c r="E29" s="363"/>
      <c r="F29" s="231">
        <v>159</v>
      </c>
      <c r="G29" s="232">
        <f>F29*D29</f>
        <v>159</v>
      </c>
      <c r="H29" s="231">
        <f>G29</f>
        <v>159</v>
      </c>
      <c r="I29" s="231">
        <f>G29</f>
        <v>159</v>
      </c>
      <c r="J29" s="231">
        <f>H29</f>
        <v>159</v>
      </c>
      <c r="K29" s="231">
        <f>G29</f>
        <v>159</v>
      </c>
      <c r="L29" s="233">
        <f>H29+I29+J29+K29</f>
        <v>636</v>
      </c>
    </row>
    <row r="30" spans="2:15" s="88" customFormat="1" ht="34.5" customHeight="1" x14ac:dyDescent="0.25">
      <c r="B30" s="228">
        <v>2</v>
      </c>
      <c r="C30" s="228" t="s">
        <v>209</v>
      </c>
      <c r="D30" s="362">
        <v>1</v>
      </c>
      <c r="E30" s="363"/>
      <c r="F30" s="231">
        <v>90.5</v>
      </c>
      <c r="G30" s="232">
        <f>F30*D30</f>
        <v>90.5</v>
      </c>
      <c r="H30" s="231">
        <f>G30</f>
        <v>90.5</v>
      </c>
      <c r="I30" s="231">
        <f>G30</f>
        <v>90.5</v>
      </c>
      <c r="J30" s="231">
        <f>G30</f>
        <v>90.5</v>
      </c>
      <c r="K30" s="231">
        <f>G30</f>
        <v>90.5</v>
      </c>
      <c r="L30" s="233">
        <f>H30+I30+J30+K30</f>
        <v>362</v>
      </c>
    </row>
    <row r="31" spans="2:15" s="88" customFormat="1" ht="34.5" customHeight="1" x14ac:dyDescent="0.25">
      <c r="B31" s="228">
        <v>3</v>
      </c>
      <c r="C31" s="228" t="s">
        <v>210</v>
      </c>
      <c r="D31" s="362">
        <v>5</v>
      </c>
      <c r="E31" s="363"/>
      <c r="F31" s="231">
        <v>30</v>
      </c>
      <c r="G31" s="232">
        <f>F31*D31</f>
        <v>150</v>
      </c>
      <c r="H31" s="231">
        <f>G31</f>
        <v>150</v>
      </c>
      <c r="I31" s="231">
        <f>G31</f>
        <v>150</v>
      </c>
      <c r="J31" s="231">
        <f>G31</f>
        <v>150</v>
      </c>
      <c r="K31" s="231">
        <f>G31</f>
        <v>150</v>
      </c>
      <c r="L31" s="233">
        <f>H31+I31+J31+K31</f>
        <v>600</v>
      </c>
    </row>
    <row r="32" spans="2:15" s="88" customFormat="1" ht="34.5" customHeight="1" x14ac:dyDescent="0.25">
      <c r="B32" s="359" t="s">
        <v>7</v>
      </c>
      <c r="C32" s="360"/>
      <c r="D32" s="360"/>
      <c r="E32" s="360"/>
      <c r="F32" s="360"/>
      <c r="G32" s="360"/>
      <c r="H32" s="253">
        <f>SUM(H29:H31)</f>
        <v>399.5</v>
      </c>
      <c r="I32" s="253">
        <f t="shared" ref="I32:K32" si="7">SUM(I29:I31)</f>
        <v>399.5</v>
      </c>
      <c r="J32" s="253">
        <f t="shared" si="7"/>
        <v>399.5</v>
      </c>
      <c r="K32" s="253">
        <f t="shared" si="7"/>
        <v>399.5</v>
      </c>
      <c r="L32" s="250">
        <f t="shared" ref="L32" si="8">SUM(L29:L31)</f>
        <v>1598</v>
      </c>
      <c r="O32" s="247"/>
    </row>
    <row r="33" spans="2:15" s="88" customFormat="1" ht="23.25" x14ac:dyDescent="0.25">
      <c r="B33" s="98"/>
      <c r="C33" s="98"/>
      <c r="D33" s="98"/>
      <c r="E33" s="98"/>
      <c r="F33" s="237"/>
      <c r="G33" s="235"/>
      <c r="H33" s="98"/>
      <c r="I33" s="98"/>
      <c r="J33" s="98"/>
      <c r="K33" s="98"/>
      <c r="L33" s="98"/>
      <c r="O33" s="247"/>
    </row>
    <row r="34" spans="2:15" s="88" customFormat="1" ht="39" customHeight="1" x14ac:dyDescent="0.25">
      <c r="B34" s="371" t="s">
        <v>211</v>
      </c>
      <c r="C34" s="372"/>
      <c r="D34" s="372"/>
      <c r="E34" s="372"/>
      <c r="F34" s="372"/>
      <c r="G34" s="372"/>
      <c r="H34" s="372"/>
      <c r="I34" s="372"/>
      <c r="J34" s="372"/>
      <c r="K34" s="372"/>
      <c r="L34" s="373"/>
      <c r="O34" s="247"/>
    </row>
    <row r="35" spans="2:15" s="88" customFormat="1" ht="39" customHeight="1" x14ac:dyDescent="0.35">
      <c r="B35" s="316" t="s">
        <v>188</v>
      </c>
      <c r="C35" s="316" t="s">
        <v>189</v>
      </c>
      <c r="D35" s="365" t="s">
        <v>190</v>
      </c>
      <c r="E35" s="366"/>
      <c r="F35" s="317" t="s">
        <v>191</v>
      </c>
      <c r="G35" s="316" t="s">
        <v>192</v>
      </c>
      <c r="H35" s="369" t="s">
        <v>197</v>
      </c>
      <c r="I35" s="369"/>
      <c r="J35" s="369"/>
      <c r="K35" s="369"/>
      <c r="L35" s="236"/>
      <c r="O35" s="247"/>
    </row>
    <row r="36" spans="2:15" s="88" customFormat="1" ht="39" customHeight="1" x14ac:dyDescent="0.35">
      <c r="B36" s="316"/>
      <c r="C36" s="316"/>
      <c r="D36" s="367"/>
      <c r="E36" s="368"/>
      <c r="F36" s="317"/>
      <c r="G36" s="316"/>
      <c r="H36" s="251" t="s">
        <v>193</v>
      </c>
      <c r="I36" s="251" t="s">
        <v>194</v>
      </c>
      <c r="J36" s="251" t="s">
        <v>195</v>
      </c>
      <c r="K36" s="251" t="s">
        <v>196</v>
      </c>
      <c r="L36" s="251" t="s">
        <v>139</v>
      </c>
      <c r="O36" s="247"/>
    </row>
    <row r="37" spans="2:15" s="88" customFormat="1" ht="39" customHeight="1" x14ac:dyDescent="0.25">
      <c r="B37" s="228">
        <v>1</v>
      </c>
      <c r="C37" s="228" t="s">
        <v>212</v>
      </c>
      <c r="D37" s="362">
        <v>4</v>
      </c>
      <c r="E37" s="363"/>
      <c r="F37" s="231">
        <v>15</v>
      </c>
      <c r="G37" s="232">
        <f>F37*D37</f>
        <v>60</v>
      </c>
      <c r="H37" s="231">
        <f>G37</f>
        <v>60</v>
      </c>
      <c r="I37" s="231">
        <f>G37</f>
        <v>60</v>
      </c>
      <c r="J37" s="231">
        <f>H37</f>
        <v>60</v>
      </c>
      <c r="K37" s="231">
        <f>G37</f>
        <v>60</v>
      </c>
      <c r="L37" s="233">
        <f>H37+I37+J37+K37</f>
        <v>240</v>
      </c>
      <c r="O37" s="247"/>
    </row>
    <row r="38" spans="2:15" s="88" customFormat="1" ht="39" customHeight="1" x14ac:dyDescent="0.25">
      <c r="B38" s="359" t="s">
        <v>7</v>
      </c>
      <c r="C38" s="360"/>
      <c r="D38" s="360"/>
      <c r="E38" s="360"/>
      <c r="F38" s="360"/>
      <c r="G38" s="360"/>
      <c r="H38" s="360"/>
      <c r="I38" s="360"/>
      <c r="J38" s="360"/>
      <c r="K38" s="370"/>
      <c r="L38" s="250">
        <f t="shared" ref="L38" si="9">SUM(L37:L37)</f>
        <v>240</v>
      </c>
      <c r="O38" s="247"/>
    </row>
    <row r="39" spans="2:15" s="88" customFormat="1" ht="23.25" x14ac:dyDescent="0.25">
      <c r="B39" s="98"/>
      <c r="C39" s="98"/>
      <c r="D39" s="98"/>
      <c r="E39" s="98"/>
      <c r="F39" s="237"/>
      <c r="G39" s="235"/>
      <c r="H39" s="98"/>
      <c r="I39" s="98"/>
      <c r="J39" s="98"/>
      <c r="K39" s="98"/>
      <c r="L39" s="98"/>
      <c r="O39" s="247"/>
    </row>
    <row r="40" spans="2:15" s="88" customFormat="1" ht="33.75" customHeight="1" x14ac:dyDescent="0.25">
      <c r="B40" s="362" t="s">
        <v>278</v>
      </c>
      <c r="C40" s="364"/>
      <c r="D40" s="364"/>
      <c r="E40" s="364"/>
      <c r="F40" s="364"/>
      <c r="G40" s="364"/>
      <c r="H40" s="364"/>
      <c r="I40" s="364"/>
      <c r="J40" s="364"/>
      <c r="K40" s="364"/>
      <c r="L40" s="363"/>
      <c r="O40" s="247"/>
    </row>
    <row r="41" spans="2:15" s="88" customFormat="1" ht="33.75" customHeight="1" x14ac:dyDescent="0.35">
      <c r="B41" s="316" t="s">
        <v>188</v>
      </c>
      <c r="C41" s="316" t="s">
        <v>189</v>
      </c>
      <c r="D41" s="316" t="s">
        <v>190</v>
      </c>
      <c r="E41" s="318" t="s">
        <v>254</v>
      </c>
      <c r="F41" s="317" t="s">
        <v>191</v>
      </c>
      <c r="G41" s="316" t="s">
        <v>192</v>
      </c>
      <c r="H41" s="369" t="s">
        <v>197</v>
      </c>
      <c r="I41" s="369"/>
      <c r="J41" s="369"/>
      <c r="K41" s="369"/>
      <c r="L41" s="236"/>
      <c r="O41" s="247"/>
    </row>
    <row r="42" spans="2:15" s="88" customFormat="1" ht="33.75" customHeight="1" x14ac:dyDescent="0.35">
      <c r="B42" s="316"/>
      <c r="C42" s="316"/>
      <c r="D42" s="316"/>
      <c r="E42" s="319"/>
      <c r="F42" s="317"/>
      <c r="G42" s="316"/>
      <c r="H42" s="251" t="s">
        <v>193</v>
      </c>
      <c r="I42" s="251" t="s">
        <v>194</v>
      </c>
      <c r="J42" s="251" t="s">
        <v>195</v>
      </c>
      <c r="K42" s="251" t="s">
        <v>196</v>
      </c>
      <c r="L42" s="251" t="s">
        <v>139</v>
      </c>
      <c r="O42" s="247"/>
    </row>
    <row r="43" spans="2:15" s="88" customFormat="1" ht="33.75" customHeight="1" x14ac:dyDescent="0.25">
      <c r="B43" s="228">
        <v>1</v>
      </c>
      <c r="C43" s="238" t="s">
        <v>213</v>
      </c>
      <c r="D43" s="239">
        <v>1</v>
      </c>
      <c r="E43" s="240" t="s">
        <v>255</v>
      </c>
      <c r="F43" s="241">
        <v>15</v>
      </c>
      <c r="G43" s="232">
        <f>SUM(F43*D43)</f>
        <v>15</v>
      </c>
      <c r="H43" s="231">
        <f>G43</f>
        <v>15</v>
      </c>
      <c r="I43" s="231">
        <f>G43</f>
        <v>15</v>
      </c>
      <c r="J43" s="231">
        <f>H43</f>
        <v>15</v>
      </c>
      <c r="K43" s="231">
        <f>G43</f>
        <v>15</v>
      </c>
      <c r="L43" s="233">
        <f>SUM(H43:K43)</f>
        <v>60</v>
      </c>
      <c r="O43" s="247"/>
    </row>
    <row r="44" spans="2:15" s="88" customFormat="1" ht="33.75" customHeight="1" x14ac:dyDescent="0.25">
      <c r="B44" s="228">
        <v>2</v>
      </c>
      <c r="C44" s="238" t="s">
        <v>214</v>
      </c>
      <c r="D44" s="239">
        <v>5</v>
      </c>
      <c r="E44" s="240" t="s">
        <v>255</v>
      </c>
      <c r="F44" s="241">
        <v>1.4</v>
      </c>
      <c r="G44" s="232">
        <f t="shared" ref="G44:G87" si="10">SUM(F44*D44)</f>
        <v>7</v>
      </c>
      <c r="H44" s="231">
        <f>G44</f>
        <v>7</v>
      </c>
      <c r="I44" s="231">
        <f t="shared" ref="I44:K44" si="11">H44</f>
        <v>7</v>
      </c>
      <c r="J44" s="231">
        <f t="shared" si="11"/>
        <v>7</v>
      </c>
      <c r="K44" s="231">
        <f t="shared" si="11"/>
        <v>7</v>
      </c>
      <c r="L44" s="233">
        <f t="shared" ref="L44:L87" si="12">SUM(H44:K44)</f>
        <v>28</v>
      </c>
      <c r="O44" s="247"/>
    </row>
    <row r="45" spans="2:15" s="88" customFormat="1" ht="33.75" customHeight="1" x14ac:dyDescent="0.25">
      <c r="B45" s="228">
        <v>3</v>
      </c>
      <c r="C45" s="238" t="s">
        <v>215</v>
      </c>
      <c r="D45" s="239">
        <v>5</v>
      </c>
      <c r="E45" s="240" t="s">
        <v>255</v>
      </c>
      <c r="F45" s="241">
        <v>2.8</v>
      </c>
      <c r="G45" s="232">
        <f t="shared" si="10"/>
        <v>14</v>
      </c>
      <c r="H45" s="231">
        <f>G45</f>
        <v>14</v>
      </c>
      <c r="I45" s="231">
        <f t="shared" ref="I45:K45" si="13">H45</f>
        <v>14</v>
      </c>
      <c r="J45" s="231">
        <f t="shared" si="13"/>
        <v>14</v>
      </c>
      <c r="K45" s="231">
        <f t="shared" si="13"/>
        <v>14</v>
      </c>
      <c r="L45" s="233">
        <f t="shared" si="12"/>
        <v>56</v>
      </c>
      <c r="O45" s="247"/>
    </row>
    <row r="46" spans="2:15" s="88" customFormat="1" ht="33.75" customHeight="1" x14ac:dyDescent="0.25">
      <c r="B46" s="228">
        <v>4</v>
      </c>
      <c r="C46" s="238" t="s">
        <v>216</v>
      </c>
      <c r="D46" s="239">
        <v>5</v>
      </c>
      <c r="E46" s="240" t="s">
        <v>255</v>
      </c>
      <c r="F46" s="241">
        <v>2.9</v>
      </c>
      <c r="G46" s="232">
        <f t="shared" si="10"/>
        <v>14.5</v>
      </c>
      <c r="H46" s="231">
        <f t="shared" ref="H46:K46" si="14">G46</f>
        <v>14.5</v>
      </c>
      <c r="I46" s="231">
        <f t="shared" si="14"/>
        <v>14.5</v>
      </c>
      <c r="J46" s="231">
        <f t="shared" si="14"/>
        <v>14.5</v>
      </c>
      <c r="K46" s="231">
        <f t="shared" si="14"/>
        <v>14.5</v>
      </c>
      <c r="L46" s="233">
        <f t="shared" si="12"/>
        <v>58</v>
      </c>
      <c r="O46" s="247"/>
    </row>
    <row r="47" spans="2:15" s="88" customFormat="1" ht="33.75" customHeight="1" x14ac:dyDescent="0.25">
      <c r="B47" s="228">
        <v>5</v>
      </c>
      <c r="C47" s="238" t="s">
        <v>217</v>
      </c>
      <c r="D47" s="239">
        <v>10</v>
      </c>
      <c r="E47" s="240" t="s">
        <v>255</v>
      </c>
      <c r="F47" s="241">
        <v>2.9</v>
      </c>
      <c r="G47" s="232">
        <f t="shared" si="10"/>
        <v>29</v>
      </c>
      <c r="H47" s="231">
        <f t="shared" ref="H47:K47" si="15">G47</f>
        <v>29</v>
      </c>
      <c r="I47" s="231">
        <f t="shared" si="15"/>
        <v>29</v>
      </c>
      <c r="J47" s="231">
        <f t="shared" si="15"/>
        <v>29</v>
      </c>
      <c r="K47" s="231">
        <f t="shared" si="15"/>
        <v>29</v>
      </c>
      <c r="L47" s="233">
        <f t="shared" si="12"/>
        <v>116</v>
      </c>
      <c r="O47" s="247"/>
    </row>
    <row r="48" spans="2:15" s="88" customFormat="1" ht="33.75" customHeight="1" x14ac:dyDescent="0.25">
      <c r="B48" s="228">
        <v>6</v>
      </c>
      <c r="C48" s="238" t="s">
        <v>218</v>
      </c>
      <c r="D48" s="239">
        <v>5</v>
      </c>
      <c r="E48" s="240" t="s">
        <v>255</v>
      </c>
      <c r="F48" s="241">
        <v>1.6</v>
      </c>
      <c r="G48" s="232">
        <f t="shared" si="10"/>
        <v>8</v>
      </c>
      <c r="H48" s="231">
        <f t="shared" ref="H48:K48" si="16">G48</f>
        <v>8</v>
      </c>
      <c r="I48" s="231">
        <f t="shared" si="16"/>
        <v>8</v>
      </c>
      <c r="J48" s="231">
        <f t="shared" si="16"/>
        <v>8</v>
      </c>
      <c r="K48" s="231">
        <f t="shared" si="16"/>
        <v>8</v>
      </c>
      <c r="L48" s="233">
        <f t="shared" si="12"/>
        <v>32</v>
      </c>
      <c r="O48" s="247"/>
    </row>
    <row r="49" spans="2:15" s="88" customFormat="1" ht="33.75" customHeight="1" x14ac:dyDescent="0.25">
      <c r="B49" s="228">
        <v>7</v>
      </c>
      <c r="C49" s="238" t="s">
        <v>219</v>
      </c>
      <c r="D49" s="239">
        <v>20</v>
      </c>
      <c r="E49" s="240" t="s">
        <v>255</v>
      </c>
      <c r="F49" s="241">
        <v>1.5</v>
      </c>
      <c r="G49" s="232">
        <f t="shared" si="10"/>
        <v>30</v>
      </c>
      <c r="H49" s="231">
        <f t="shared" ref="H49:K49" si="17">G49</f>
        <v>30</v>
      </c>
      <c r="I49" s="231">
        <f t="shared" si="17"/>
        <v>30</v>
      </c>
      <c r="J49" s="231">
        <f t="shared" si="17"/>
        <v>30</v>
      </c>
      <c r="K49" s="231">
        <f t="shared" si="17"/>
        <v>30</v>
      </c>
      <c r="L49" s="233">
        <f t="shared" si="12"/>
        <v>120</v>
      </c>
      <c r="O49" s="247"/>
    </row>
    <row r="50" spans="2:15" s="88" customFormat="1" ht="33.75" customHeight="1" x14ac:dyDescent="0.25">
      <c r="B50" s="228">
        <v>8</v>
      </c>
      <c r="C50" s="238" t="s">
        <v>220</v>
      </c>
      <c r="D50" s="239">
        <v>13</v>
      </c>
      <c r="E50" s="240" t="s">
        <v>255</v>
      </c>
      <c r="F50" s="241">
        <v>1.3</v>
      </c>
      <c r="G50" s="232">
        <f t="shared" si="10"/>
        <v>16.900000000000002</v>
      </c>
      <c r="H50" s="231">
        <f>G50</f>
        <v>16.900000000000002</v>
      </c>
      <c r="I50" s="231">
        <f t="shared" ref="I50:K50" si="18">H50</f>
        <v>16.900000000000002</v>
      </c>
      <c r="J50" s="231">
        <f t="shared" si="18"/>
        <v>16.900000000000002</v>
      </c>
      <c r="K50" s="231">
        <f t="shared" si="18"/>
        <v>16.900000000000002</v>
      </c>
      <c r="L50" s="233">
        <f t="shared" si="12"/>
        <v>67.600000000000009</v>
      </c>
      <c r="O50" s="247"/>
    </row>
    <row r="51" spans="2:15" s="88" customFormat="1" ht="33.75" customHeight="1" x14ac:dyDescent="0.25">
      <c r="B51" s="228">
        <v>9</v>
      </c>
      <c r="C51" s="238" t="s">
        <v>221</v>
      </c>
      <c r="D51" s="239">
        <v>10</v>
      </c>
      <c r="E51" s="240" t="s">
        <v>255</v>
      </c>
      <c r="F51" s="241">
        <v>1.75</v>
      </c>
      <c r="G51" s="232">
        <f t="shared" si="10"/>
        <v>17.5</v>
      </c>
      <c r="H51" s="231">
        <f t="shared" ref="H51:K51" si="19">G51</f>
        <v>17.5</v>
      </c>
      <c r="I51" s="231">
        <f t="shared" si="19"/>
        <v>17.5</v>
      </c>
      <c r="J51" s="231">
        <f t="shared" si="19"/>
        <v>17.5</v>
      </c>
      <c r="K51" s="231">
        <f t="shared" si="19"/>
        <v>17.5</v>
      </c>
      <c r="L51" s="233">
        <f t="shared" si="12"/>
        <v>70</v>
      </c>
      <c r="O51" s="89"/>
    </row>
    <row r="52" spans="2:15" s="88" customFormat="1" ht="33.75" customHeight="1" x14ac:dyDescent="0.25">
      <c r="B52" s="228">
        <v>10</v>
      </c>
      <c r="C52" s="238" t="s">
        <v>222</v>
      </c>
      <c r="D52" s="239">
        <v>5</v>
      </c>
      <c r="E52" s="240" t="s">
        <v>255</v>
      </c>
      <c r="F52" s="241">
        <v>2.2000000000000002</v>
      </c>
      <c r="G52" s="232">
        <f t="shared" si="10"/>
        <v>11</v>
      </c>
      <c r="H52" s="231">
        <f t="shared" ref="H52:K52" si="20">G52</f>
        <v>11</v>
      </c>
      <c r="I52" s="231">
        <f t="shared" si="20"/>
        <v>11</v>
      </c>
      <c r="J52" s="231">
        <f t="shared" si="20"/>
        <v>11</v>
      </c>
      <c r="K52" s="231">
        <f t="shared" si="20"/>
        <v>11</v>
      </c>
      <c r="L52" s="233">
        <f t="shared" si="12"/>
        <v>44</v>
      </c>
      <c r="O52" s="89"/>
    </row>
    <row r="53" spans="2:15" s="88" customFormat="1" ht="33.75" customHeight="1" x14ac:dyDescent="0.25">
      <c r="B53" s="228">
        <v>11</v>
      </c>
      <c r="C53" s="238" t="s">
        <v>223</v>
      </c>
      <c r="D53" s="239">
        <v>4</v>
      </c>
      <c r="E53" s="240" t="s">
        <v>255</v>
      </c>
      <c r="F53" s="241">
        <v>2.1</v>
      </c>
      <c r="G53" s="232">
        <f t="shared" si="10"/>
        <v>8.4</v>
      </c>
      <c r="H53" s="231">
        <f t="shared" ref="H53:K53" si="21">G53</f>
        <v>8.4</v>
      </c>
      <c r="I53" s="231">
        <f t="shared" si="21"/>
        <v>8.4</v>
      </c>
      <c r="J53" s="231">
        <f t="shared" si="21"/>
        <v>8.4</v>
      </c>
      <c r="K53" s="231">
        <f t="shared" si="21"/>
        <v>8.4</v>
      </c>
      <c r="L53" s="233">
        <f t="shared" si="12"/>
        <v>33.6</v>
      </c>
      <c r="O53" s="248"/>
    </row>
    <row r="54" spans="2:15" s="88" customFormat="1" ht="33.75" customHeight="1" x14ac:dyDescent="0.25">
      <c r="B54" s="228">
        <v>12</v>
      </c>
      <c r="C54" s="238" t="s">
        <v>224</v>
      </c>
      <c r="D54" s="239">
        <v>25</v>
      </c>
      <c r="E54" s="240" t="s">
        <v>255</v>
      </c>
      <c r="F54" s="241">
        <v>0.85</v>
      </c>
      <c r="G54" s="232">
        <f t="shared" si="10"/>
        <v>21.25</v>
      </c>
      <c r="H54" s="231">
        <f t="shared" ref="H54:K54" si="22">G54</f>
        <v>21.25</v>
      </c>
      <c r="I54" s="231">
        <f t="shared" si="22"/>
        <v>21.25</v>
      </c>
      <c r="J54" s="231">
        <f t="shared" si="22"/>
        <v>21.25</v>
      </c>
      <c r="K54" s="231">
        <f t="shared" si="22"/>
        <v>21.25</v>
      </c>
      <c r="L54" s="233">
        <f t="shared" si="12"/>
        <v>85</v>
      </c>
      <c r="O54" s="248"/>
    </row>
    <row r="55" spans="2:15" s="88" customFormat="1" ht="33.75" customHeight="1" x14ac:dyDescent="0.25">
      <c r="B55" s="228">
        <v>13</v>
      </c>
      <c r="C55" s="238" t="s">
        <v>224</v>
      </c>
      <c r="D55" s="239">
        <v>6</v>
      </c>
      <c r="E55" s="239" t="s">
        <v>255</v>
      </c>
      <c r="F55" s="242">
        <v>0.85</v>
      </c>
      <c r="G55" s="232">
        <f t="shared" si="10"/>
        <v>5.0999999999999996</v>
      </c>
      <c r="H55" s="231">
        <f t="shared" ref="H55:K55" si="23">G55</f>
        <v>5.0999999999999996</v>
      </c>
      <c r="I55" s="231">
        <f t="shared" si="23"/>
        <v>5.0999999999999996</v>
      </c>
      <c r="J55" s="231">
        <f t="shared" si="23"/>
        <v>5.0999999999999996</v>
      </c>
      <c r="K55" s="231">
        <f t="shared" si="23"/>
        <v>5.0999999999999996</v>
      </c>
      <c r="L55" s="233">
        <f t="shared" si="12"/>
        <v>20.399999999999999</v>
      </c>
      <c r="O55" s="248"/>
    </row>
    <row r="56" spans="2:15" s="88" customFormat="1" ht="33.75" customHeight="1" x14ac:dyDescent="0.25">
      <c r="B56" s="228">
        <v>14</v>
      </c>
      <c r="C56" s="238" t="s">
        <v>219</v>
      </c>
      <c r="D56" s="239">
        <v>8</v>
      </c>
      <c r="E56" s="239" t="s">
        <v>255</v>
      </c>
      <c r="F56" s="242">
        <v>1.5</v>
      </c>
      <c r="G56" s="232">
        <f t="shared" si="10"/>
        <v>12</v>
      </c>
      <c r="H56" s="231">
        <f t="shared" ref="H56:K56" si="24">G56</f>
        <v>12</v>
      </c>
      <c r="I56" s="231">
        <f t="shared" si="24"/>
        <v>12</v>
      </c>
      <c r="J56" s="231">
        <f t="shared" si="24"/>
        <v>12</v>
      </c>
      <c r="K56" s="231">
        <f t="shared" si="24"/>
        <v>12</v>
      </c>
      <c r="L56" s="233">
        <f t="shared" si="12"/>
        <v>48</v>
      </c>
      <c r="O56" s="248"/>
    </row>
    <row r="57" spans="2:15" s="88" customFormat="1" ht="33.75" customHeight="1" x14ac:dyDescent="0.25">
      <c r="B57" s="228">
        <v>15</v>
      </c>
      <c r="C57" s="238" t="s">
        <v>225</v>
      </c>
      <c r="D57" s="239">
        <v>6</v>
      </c>
      <c r="E57" s="239" t="s">
        <v>255</v>
      </c>
      <c r="F57" s="242">
        <v>2.9</v>
      </c>
      <c r="G57" s="232">
        <f t="shared" si="10"/>
        <v>17.399999999999999</v>
      </c>
      <c r="H57" s="231">
        <f t="shared" ref="H57:K57" si="25">G57</f>
        <v>17.399999999999999</v>
      </c>
      <c r="I57" s="231">
        <f t="shared" si="25"/>
        <v>17.399999999999999</v>
      </c>
      <c r="J57" s="231">
        <f t="shared" si="25"/>
        <v>17.399999999999999</v>
      </c>
      <c r="K57" s="231">
        <f t="shared" si="25"/>
        <v>17.399999999999999</v>
      </c>
      <c r="L57" s="233">
        <f t="shared" si="12"/>
        <v>69.599999999999994</v>
      </c>
      <c r="O57" s="248"/>
    </row>
    <row r="58" spans="2:15" ht="33.75" customHeight="1" x14ac:dyDescent="0.25">
      <c r="B58" s="228">
        <v>16</v>
      </c>
      <c r="C58" s="238" t="s">
        <v>226</v>
      </c>
      <c r="D58" s="239">
        <v>6</v>
      </c>
      <c r="E58" s="239" t="s">
        <v>255</v>
      </c>
      <c r="F58" s="242">
        <v>3.6</v>
      </c>
      <c r="G58" s="232">
        <f t="shared" si="10"/>
        <v>21.6</v>
      </c>
      <c r="H58" s="231">
        <f t="shared" ref="H58:K58" si="26">G58</f>
        <v>21.6</v>
      </c>
      <c r="I58" s="231">
        <f t="shared" si="26"/>
        <v>21.6</v>
      </c>
      <c r="J58" s="231">
        <f t="shared" si="26"/>
        <v>21.6</v>
      </c>
      <c r="K58" s="231">
        <f t="shared" si="26"/>
        <v>21.6</v>
      </c>
      <c r="L58" s="233">
        <f t="shared" si="12"/>
        <v>86.4</v>
      </c>
      <c r="O58" s="248"/>
    </row>
    <row r="59" spans="2:15" ht="33.75" customHeight="1" x14ac:dyDescent="0.25">
      <c r="B59" s="228">
        <v>17</v>
      </c>
      <c r="C59" s="238" t="s">
        <v>220</v>
      </c>
      <c r="D59" s="239">
        <v>6</v>
      </c>
      <c r="E59" s="239" t="s">
        <v>255</v>
      </c>
      <c r="F59" s="242">
        <v>1.3</v>
      </c>
      <c r="G59" s="232">
        <f t="shared" si="10"/>
        <v>7.8000000000000007</v>
      </c>
      <c r="H59" s="231">
        <f t="shared" ref="H59:K59" si="27">G59</f>
        <v>7.8000000000000007</v>
      </c>
      <c r="I59" s="231">
        <f t="shared" si="27"/>
        <v>7.8000000000000007</v>
      </c>
      <c r="J59" s="231">
        <f t="shared" si="27"/>
        <v>7.8000000000000007</v>
      </c>
      <c r="K59" s="231">
        <f t="shared" si="27"/>
        <v>7.8000000000000007</v>
      </c>
      <c r="L59" s="233">
        <f t="shared" si="12"/>
        <v>31.200000000000003</v>
      </c>
      <c r="O59" s="248"/>
    </row>
    <row r="60" spans="2:15" ht="33.75" customHeight="1" x14ac:dyDescent="0.25">
      <c r="B60" s="228">
        <v>18</v>
      </c>
      <c r="C60" s="238" t="s">
        <v>227</v>
      </c>
      <c r="D60" s="239">
        <v>5</v>
      </c>
      <c r="E60" s="239" t="s">
        <v>255</v>
      </c>
      <c r="F60" s="242">
        <v>1.75</v>
      </c>
      <c r="G60" s="232">
        <f t="shared" si="10"/>
        <v>8.75</v>
      </c>
      <c r="H60" s="231">
        <f t="shared" ref="H60:K60" si="28">G60</f>
        <v>8.75</v>
      </c>
      <c r="I60" s="231">
        <f t="shared" si="28"/>
        <v>8.75</v>
      </c>
      <c r="J60" s="231">
        <f t="shared" si="28"/>
        <v>8.75</v>
      </c>
      <c r="K60" s="231">
        <f t="shared" si="28"/>
        <v>8.75</v>
      </c>
      <c r="L60" s="233">
        <f t="shared" si="12"/>
        <v>35</v>
      </c>
      <c r="O60" s="248"/>
    </row>
    <row r="61" spans="2:15" ht="33.75" customHeight="1" x14ac:dyDescent="0.25">
      <c r="B61" s="228">
        <v>19</v>
      </c>
      <c r="C61" s="238" t="s">
        <v>228</v>
      </c>
      <c r="D61" s="239">
        <v>8</v>
      </c>
      <c r="E61" s="239" t="s">
        <v>255</v>
      </c>
      <c r="F61" s="242">
        <v>1</v>
      </c>
      <c r="G61" s="232">
        <f t="shared" si="10"/>
        <v>8</v>
      </c>
      <c r="H61" s="231">
        <f t="shared" ref="H61:K61" si="29">G61</f>
        <v>8</v>
      </c>
      <c r="I61" s="231">
        <f t="shared" si="29"/>
        <v>8</v>
      </c>
      <c r="J61" s="231">
        <f t="shared" si="29"/>
        <v>8</v>
      </c>
      <c r="K61" s="231">
        <f t="shared" si="29"/>
        <v>8</v>
      </c>
      <c r="L61" s="233">
        <f t="shared" si="12"/>
        <v>32</v>
      </c>
      <c r="O61" s="248"/>
    </row>
    <row r="62" spans="2:15" ht="33.75" customHeight="1" x14ac:dyDescent="0.25">
      <c r="B62" s="228">
        <v>20</v>
      </c>
      <c r="C62" s="238" t="s">
        <v>214</v>
      </c>
      <c r="D62" s="239">
        <v>7</v>
      </c>
      <c r="E62" s="239" t="s">
        <v>255</v>
      </c>
      <c r="F62" s="242">
        <v>1.4</v>
      </c>
      <c r="G62" s="232">
        <f t="shared" si="10"/>
        <v>9.7999999999999989</v>
      </c>
      <c r="H62" s="231">
        <f t="shared" ref="H62:K62" si="30">G62</f>
        <v>9.7999999999999989</v>
      </c>
      <c r="I62" s="231">
        <f t="shared" si="30"/>
        <v>9.7999999999999989</v>
      </c>
      <c r="J62" s="231">
        <f t="shared" si="30"/>
        <v>9.7999999999999989</v>
      </c>
      <c r="K62" s="231">
        <f t="shared" si="30"/>
        <v>9.7999999999999989</v>
      </c>
      <c r="L62" s="233">
        <f t="shared" si="12"/>
        <v>39.199999999999996</v>
      </c>
      <c r="O62" s="248"/>
    </row>
    <row r="63" spans="2:15" ht="33.75" customHeight="1" x14ac:dyDescent="0.35">
      <c r="B63" s="228">
        <v>21</v>
      </c>
      <c r="C63" s="236" t="s">
        <v>229</v>
      </c>
      <c r="D63" s="228">
        <v>10</v>
      </c>
      <c r="E63" s="228" t="s">
        <v>256</v>
      </c>
      <c r="F63" s="242">
        <v>28</v>
      </c>
      <c r="G63" s="232">
        <f t="shared" si="10"/>
        <v>280</v>
      </c>
      <c r="H63" s="231">
        <f t="shared" ref="H63:K63" si="31">G63</f>
        <v>280</v>
      </c>
      <c r="I63" s="231">
        <f t="shared" si="31"/>
        <v>280</v>
      </c>
      <c r="J63" s="231">
        <f t="shared" si="31"/>
        <v>280</v>
      </c>
      <c r="K63" s="231">
        <f t="shared" si="31"/>
        <v>280</v>
      </c>
      <c r="L63" s="233">
        <f t="shared" si="12"/>
        <v>1120</v>
      </c>
      <c r="O63" s="248"/>
    </row>
    <row r="64" spans="2:15" ht="33.75" customHeight="1" x14ac:dyDescent="0.35">
      <c r="B64" s="228">
        <v>22</v>
      </c>
      <c r="C64" s="236" t="s">
        <v>230</v>
      </c>
      <c r="D64" s="228">
        <v>20</v>
      </c>
      <c r="E64" s="228" t="s">
        <v>256</v>
      </c>
      <c r="F64" s="242">
        <v>21.5</v>
      </c>
      <c r="G64" s="232">
        <f>SUM(F64*D64)</f>
        <v>430</v>
      </c>
      <c r="H64" s="231">
        <f t="shared" ref="H64:K64" si="32">G64</f>
        <v>430</v>
      </c>
      <c r="I64" s="231">
        <f t="shared" si="32"/>
        <v>430</v>
      </c>
      <c r="J64" s="231">
        <f t="shared" si="32"/>
        <v>430</v>
      </c>
      <c r="K64" s="231">
        <f t="shared" si="32"/>
        <v>430</v>
      </c>
      <c r="L64" s="233">
        <f t="shared" si="12"/>
        <v>1720</v>
      </c>
      <c r="O64" s="248"/>
    </row>
    <row r="65" spans="2:18" ht="33.75" customHeight="1" x14ac:dyDescent="0.25">
      <c r="B65" s="228">
        <v>23</v>
      </c>
      <c r="C65" s="95" t="s">
        <v>231</v>
      </c>
      <c r="D65" s="228">
        <v>20</v>
      </c>
      <c r="E65" s="228" t="s">
        <v>256</v>
      </c>
      <c r="F65" s="242">
        <v>16.5</v>
      </c>
      <c r="G65" s="232">
        <f t="shared" si="10"/>
        <v>330</v>
      </c>
      <c r="H65" s="231">
        <f t="shared" ref="H65:K65" si="33">G65</f>
        <v>330</v>
      </c>
      <c r="I65" s="231">
        <f t="shared" si="33"/>
        <v>330</v>
      </c>
      <c r="J65" s="231">
        <f t="shared" si="33"/>
        <v>330</v>
      </c>
      <c r="K65" s="231">
        <f t="shared" si="33"/>
        <v>330</v>
      </c>
      <c r="L65" s="233">
        <f t="shared" si="12"/>
        <v>1320</v>
      </c>
      <c r="O65" s="248"/>
    </row>
    <row r="66" spans="2:18" ht="33.75" customHeight="1" x14ac:dyDescent="0.25">
      <c r="B66" s="228">
        <v>24</v>
      </c>
      <c r="C66" s="95" t="s">
        <v>232</v>
      </c>
      <c r="D66" s="228">
        <v>3</v>
      </c>
      <c r="E66" s="228" t="s">
        <v>257</v>
      </c>
      <c r="F66" s="242">
        <v>120</v>
      </c>
      <c r="G66" s="232">
        <f>SUM(F66*D66)</f>
        <v>360</v>
      </c>
      <c r="H66" s="231">
        <f t="shared" ref="H66:K66" si="34">G66</f>
        <v>360</v>
      </c>
      <c r="I66" s="231">
        <f t="shared" si="34"/>
        <v>360</v>
      </c>
      <c r="J66" s="231">
        <f t="shared" si="34"/>
        <v>360</v>
      </c>
      <c r="K66" s="231">
        <f t="shared" si="34"/>
        <v>360</v>
      </c>
      <c r="L66" s="233">
        <f t="shared" si="12"/>
        <v>1440</v>
      </c>
      <c r="O66" s="248"/>
    </row>
    <row r="67" spans="2:18" ht="33.75" customHeight="1" x14ac:dyDescent="0.25">
      <c r="B67" s="228">
        <v>25</v>
      </c>
      <c r="C67" s="95" t="s">
        <v>233</v>
      </c>
      <c r="D67" s="228">
        <v>3</v>
      </c>
      <c r="E67" s="228" t="s">
        <v>257</v>
      </c>
      <c r="F67" s="242">
        <v>180</v>
      </c>
      <c r="G67" s="232">
        <f>SUM(F67*D67)</f>
        <v>540</v>
      </c>
      <c r="H67" s="231">
        <f t="shared" ref="H67:K67" si="35">G67</f>
        <v>540</v>
      </c>
      <c r="I67" s="231">
        <f t="shared" si="35"/>
        <v>540</v>
      </c>
      <c r="J67" s="231">
        <f t="shared" si="35"/>
        <v>540</v>
      </c>
      <c r="K67" s="231">
        <f t="shared" si="35"/>
        <v>540</v>
      </c>
      <c r="L67" s="233">
        <f t="shared" si="12"/>
        <v>2160</v>
      </c>
      <c r="O67" s="248"/>
    </row>
    <row r="68" spans="2:18" ht="33.75" customHeight="1" x14ac:dyDescent="0.25">
      <c r="B68" s="228">
        <v>26</v>
      </c>
      <c r="C68" s="95" t="s">
        <v>234</v>
      </c>
      <c r="D68" s="228">
        <v>15</v>
      </c>
      <c r="E68" s="228" t="s">
        <v>255</v>
      </c>
      <c r="F68" s="242">
        <v>3</v>
      </c>
      <c r="G68" s="232">
        <f t="shared" si="10"/>
        <v>45</v>
      </c>
      <c r="H68" s="231">
        <f t="shared" ref="H68:K68" si="36">G68</f>
        <v>45</v>
      </c>
      <c r="I68" s="231">
        <f t="shared" si="36"/>
        <v>45</v>
      </c>
      <c r="J68" s="231">
        <f t="shared" si="36"/>
        <v>45</v>
      </c>
      <c r="K68" s="231">
        <f t="shared" si="36"/>
        <v>45</v>
      </c>
      <c r="L68" s="233">
        <f t="shared" si="12"/>
        <v>180</v>
      </c>
      <c r="O68" s="248"/>
    </row>
    <row r="69" spans="2:18" ht="33.75" customHeight="1" x14ac:dyDescent="0.25">
      <c r="B69" s="228">
        <v>27</v>
      </c>
      <c r="C69" s="95" t="s">
        <v>235</v>
      </c>
      <c r="D69" s="228">
        <v>20</v>
      </c>
      <c r="E69" s="228" t="s">
        <v>255</v>
      </c>
      <c r="F69" s="242">
        <v>6.5</v>
      </c>
      <c r="G69" s="232">
        <f t="shared" si="10"/>
        <v>130</v>
      </c>
      <c r="H69" s="231">
        <f t="shared" ref="H69:K69" si="37">G69</f>
        <v>130</v>
      </c>
      <c r="I69" s="231">
        <f t="shared" si="37"/>
        <v>130</v>
      </c>
      <c r="J69" s="231">
        <f t="shared" si="37"/>
        <v>130</v>
      </c>
      <c r="K69" s="231">
        <f t="shared" si="37"/>
        <v>130</v>
      </c>
      <c r="L69" s="233">
        <f t="shared" si="12"/>
        <v>520</v>
      </c>
      <c r="O69" s="248"/>
    </row>
    <row r="70" spans="2:18" ht="33.75" customHeight="1" x14ac:dyDescent="0.25">
      <c r="B70" s="228">
        <v>28</v>
      </c>
      <c r="C70" s="95" t="s">
        <v>236</v>
      </c>
      <c r="D70" s="228">
        <v>20</v>
      </c>
      <c r="E70" s="228" t="s">
        <v>255</v>
      </c>
      <c r="F70" s="242">
        <v>3.5</v>
      </c>
      <c r="G70" s="232">
        <f t="shared" si="10"/>
        <v>70</v>
      </c>
      <c r="H70" s="231">
        <f t="shared" ref="H70:K70" si="38">G70</f>
        <v>70</v>
      </c>
      <c r="I70" s="231">
        <f t="shared" si="38"/>
        <v>70</v>
      </c>
      <c r="J70" s="231">
        <f t="shared" si="38"/>
        <v>70</v>
      </c>
      <c r="K70" s="231">
        <f t="shared" si="38"/>
        <v>70</v>
      </c>
      <c r="L70" s="233">
        <f t="shared" si="12"/>
        <v>280</v>
      </c>
      <c r="O70" s="248"/>
    </row>
    <row r="71" spans="2:18" ht="33.75" customHeight="1" x14ac:dyDescent="0.25">
      <c r="B71" s="228">
        <v>29</v>
      </c>
      <c r="C71" s="95" t="s">
        <v>237</v>
      </c>
      <c r="D71" s="228">
        <v>15</v>
      </c>
      <c r="E71" s="228" t="s">
        <v>255</v>
      </c>
      <c r="F71" s="242">
        <v>2.5</v>
      </c>
      <c r="G71" s="232">
        <f t="shared" si="10"/>
        <v>37.5</v>
      </c>
      <c r="H71" s="231">
        <f t="shared" ref="H71:K71" si="39">G71</f>
        <v>37.5</v>
      </c>
      <c r="I71" s="231">
        <f t="shared" si="39"/>
        <v>37.5</v>
      </c>
      <c r="J71" s="231">
        <f t="shared" si="39"/>
        <v>37.5</v>
      </c>
      <c r="K71" s="231">
        <f t="shared" si="39"/>
        <v>37.5</v>
      </c>
      <c r="L71" s="233">
        <f t="shared" si="12"/>
        <v>150</v>
      </c>
      <c r="O71" s="248"/>
    </row>
    <row r="72" spans="2:18" ht="33.75" customHeight="1" x14ac:dyDescent="0.25">
      <c r="B72" s="228">
        <v>30</v>
      </c>
      <c r="C72" s="95" t="s">
        <v>238</v>
      </c>
      <c r="D72" s="228">
        <v>14</v>
      </c>
      <c r="E72" s="228" t="s">
        <v>255</v>
      </c>
      <c r="F72" s="242">
        <v>2.5</v>
      </c>
      <c r="G72" s="232">
        <f t="shared" si="10"/>
        <v>35</v>
      </c>
      <c r="H72" s="231">
        <f t="shared" ref="H72:K72" si="40">G72</f>
        <v>35</v>
      </c>
      <c r="I72" s="231">
        <f t="shared" si="40"/>
        <v>35</v>
      </c>
      <c r="J72" s="231">
        <f t="shared" si="40"/>
        <v>35</v>
      </c>
      <c r="K72" s="231">
        <f t="shared" si="40"/>
        <v>35</v>
      </c>
      <c r="L72" s="233">
        <f t="shared" si="12"/>
        <v>140</v>
      </c>
      <c r="O72" s="248"/>
    </row>
    <row r="73" spans="2:18" ht="33.75" customHeight="1" x14ac:dyDescent="0.25">
      <c r="B73" s="228">
        <v>31</v>
      </c>
      <c r="C73" s="95" t="s">
        <v>239</v>
      </c>
      <c r="D73" s="228">
        <v>15</v>
      </c>
      <c r="E73" s="228" t="s">
        <v>255</v>
      </c>
      <c r="F73" s="242">
        <v>5</v>
      </c>
      <c r="G73" s="232">
        <f t="shared" si="10"/>
        <v>75</v>
      </c>
      <c r="H73" s="231">
        <f t="shared" ref="H73:K73" si="41">G73</f>
        <v>75</v>
      </c>
      <c r="I73" s="231">
        <f t="shared" si="41"/>
        <v>75</v>
      </c>
      <c r="J73" s="231">
        <f t="shared" si="41"/>
        <v>75</v>
      </c>
      <c r="K73" s="231">
        <f t="shared" si="41"/>
        <v>75</v>
      </c>
      <c r="L73" s="233">
        <f t="shared" si="12"/>
        <v>300</v>
      </c>
      <c r="O73" s="248"/>
    </row>
    <row r="74" spans="2:18" ht="33.75" customHeight="1" x14ac:dyDescent="0.25">
      <c r="B74" s="228">
        <v>32</v>
      </c>
      <c r="C74" s="95" t="s">
        <v>240</v>
      </c>
      <c r="D74" s="228">
        <v>20</v>
      </c>
      <c r="E74" s="228" t="s">
        <v>255</v>
      </c>
      <c r="F74" s="242">
        <v>4</v>
      </c>
      <c r="G74" s="232">
        <f t="shared" si="10"/>
        <v>80</v>
      </c>
      <c r="H74" s="231">
        <f t="shared" ref="H74:K74" si="42">G74</f>
        <v>80</v>
      </c>
      <c r="I74" s="231">
        <f t="shared" si="42"/>
        <v>80</v>
      </c>
      <c r="J74" s="231">
        <f t="shared" si="42"/>
        <v>80</v>
      </c>
      <c r="K74" s="231">
        <f t="shared" si="42"/>
        <v>80</v>
      </c>
      <c r="L74" s="233">
        <f t="shared" si="12"/>
        <v>320</v>
      </c>
      <c r="O74" s="248"/>
    </row>
    <row r="75" spans="2:18" ht="33.75" customHeight="1" x14ac:dyDescent="0.25">
      <c r="B75" s="228">
        <v>33</v>
      </c>
      <c r="C75" s="95" t="s">
        <v>241</v>
      </c>
      <c r="D75" s="228">
        <v>20</v>
      </c>
      <c r="E75" s="228" t="s">
        <v>255</v>
      </c>
      <c r="F75" s="242">
        <v>4</v>
      </c>
      <c r="G75" s="232">
        <f t="shared" si="10"/>
        <v>80</v>
      </c>
      <c r="H75" s="231">
        <f t="shared" ref="H75:K75" si="43">G75</f>
        <v>80</v>
      </c>
      <c r="I75" s="231">
        <f t="shared" si="43"/>
        <v>80</v>
      </c>
      <c r="J75" s="231">
        <f t="shared" si="43"/>
        <v>80</v>
      </c>
      <c r="K75" s="231">
        <f t="shared" si="43"/>
        <v>80</v>
      </c>
      <c r="L75" s="233">
        <f t="shared" si="12"/>
        <v>320</v>
      </c>
      <c r="O75" s="249"/>
    </row>
    <row r="76" spans="2:18" ht="33.75" customHeight="1" x14ac:dyDescent="0.25">
      <c r="B76" s="228">
        <v>34</v>
      </c>
      <c r="C76" s="95" t="s">
        <v>242</v>
      </c>
      <c r="D76" s="228">
        <v>15</v>
      </c>
      <c r="E76" s="228" t="s">
        <v>255</v>
      </c>
      <c r="F76" s="242">
        <v>3</v>
      </c>
      <c r="G76" s="232">
        <f t="shared" si="10"/>
        <v>45</v>
      </c>
      <c r="H76" s="231">
        <f t="shared" ref="H76:K76" si="44">G76</f>
        <v>45</v>
      </c>
      <c r="I76" s="231">
        <f t="shared" si="44"/>
        <v>45</v>
      </c>
      <c r="J76" s="231">
        <f t="shared" si="44"/>
        <v>45</v>
      </c>
      <c r="K76" s="231">
        <f t="shared" si="44"/>
        <v>45</v>
      </c>
      <c r="L76" s="233">
        <f t="shared" si="12"/>
        <v>180</v>
      </c>
    </row>
    <row r="77" spans="2:18" ht="33.75" customHeight="1" x14ac:dyDescent="0.25">
      <c r="B77" s="228">
        <v>35</v>
      </c>
      <c r="C77" s="95" t="s">
        <v>243</v>
      </c>
      <c r="D77" s="228">
        <v>15</v>
      </c>
      <c r="E77" s="228" t="s">
        <v>255</v>
      </c>
      <c r="F77" s="242">
        <v>5</v>
      </c>
      <c r="G77" s="232">
        <f t="shared" si="10"/>
        <v>75</v>
      </c>
      <c r="H77" s="231">
        <f t="shared" ref="H77:K77" si="45">G77</f>
        <v>75</v>
      </c>
      <c r="I77" s="231">
        <f t="shared" si="45"/>
        <v>75</v>
      </c>
      <c r="J77" s="231">
        <f t="shared" si="45"/>
        <v>75</v>
      </c>
      <c r="K77" s="231">
        <f t="shared" si="45"/>
        <v>75</v>
      </c>
      <c r="L77" s="233">
        <f t="shared" si="12"/>
        <v>300</v>
      </c>
      <c r="R77" t="s">
        <v>93</v>
      </c>
    </row>
    <row r="78" spans="2:18" ht="33.75" customHeight="1" x14ac:dyDescent="0.25">
      <c r="B78" s="228">
        <v>36</v>
      </c>
      <c r="C78" s="95" t="s">
        <v>244</v>
      </c>
      <c r="D78" s="228">
        <v>10</v>
      </c>
      <c r="E78" s="228" t="s">
        <v>255</v>
      </c>
      <c r="F78" s="242">
        <v>5</v>
      </c>
      <c r="G78" s="232">
        <f t="shared" si="10"/>
        <v>50</v>
      </c>
      <c r="H78" s="231">
        <f t="shared" ref="H78:K78" si="46">G78</f>
        <v>50</v>
      </c>
      <c r="I78" s="231">
        <f t="shared" si="46"/>
        <v>50</v>
      </c>
      <c r="J78" s="231">
        <f t="shared" si="46"/>
        <v>50</v>
      </c>
      <c r="K78" s="231">
        <f t="shared" si="46"/>
        <v>50</v>
      </c>
      <c r="L78" s="233">
        <f t="shared" si="12"/>
        <v>200</v>
      </c>
    </row>
    <row r="79" spans="2:18" ht="33.75" customHeight="1" x14ac:dyDescent="0.25">
      <c r="B79" s="228">
        <v>37</v>
      </c>
      <c r="C79" s="95" t="s">
        <v>245</v>
      </c>
      <c r="D79" s="228">
        <v>20</v>
      </c>
      <c r="E79" s="228" t="s">
        <v>255</v>
      </c>
      <c r="F79" s="242">
        <v>6</v>
      </c>
      <c r="G79" s="232">
        <f>SUM(F79*D79)</f>
        <v>120</v>
      </c>
      <c r="H79" s="231">
        <f t="shared" ref="H79:K79" si="47">G79</f>
        <v>120</v>
      </c>
      <c r="I79" s="231">
        <f t="shared" si="47"/>
        <v>120</v>
      </c>
      <c r="J79" s="231">
        <f t="shared" si="47"/>
        <v>120</v>
      </c>
      <c r="K79" s="231">
        <f t="shared" si="47"/>
        <v>120</v>
      </c>
      <c r="L79" s="233">
        <f t="shared" si="12"/>
        <v>480</v>
      </c>
    </row>
    <row r="80" spans="2:18" ht="33.75" customHeight="1" x14ac:dyDescent="0.25">
      <c r="B80" s="228">
        <v>38</v>
      </c>
      <c r="C80" s="95" t="s">
        <v>246</v>
      </c>
      <c r="D80" s="228">
        <v>20</v>
      </c>
      <c r="E80" s="228" t="s">
        <v>255</v>
      </c>
      <c r="F80" s="242">
        <v>3</v>
      </c>
      <c r="G80" s="232">
        <f t="shared" si="10"/>
        <v>60</v>
      </c>
      <c r="H80" s="231">
        <f t="shared" ref="H80:K80" si="48">G80</f>
        <v>60</v>
      </c>
      <c r="I80" s="231">
        <f t="shared" si="48"/>
        <v>60</v>
      </c>
      <c r="J80" s="231">
        <f t="shared" si="48"/>
        <v>60</v>
      </c>
      <c r="K80" s="231">
        <f t="shared" si="48"/>
        <v>60</v>
      </c>
      <c r="L80" s="233">
        <f t="shared" si="12"/>
        <v>240</v>
      </c>
    </row>
    <row r="81" spans="2:12" ht="33.75" customHeight="1" x14ac:dyDescent="0.25">
      <c r="B81" s="228">
        <v>39</v>
      </c>
      <c r="C81" s="95" t="s">
        <v>247</v>
      </c>
      <c r="D81" s="228">
        <v>19</v>
      </c>
      <c r="E81" s="228" t="s">
        <v>255</v>
      </c>
      <c r="F81" s="242">
        <v>2</v>
      </c>
      <c r="G81" s="232">
        <f t="shared" si="10"/>
        <v>38</v>
      </c>
      <c r="H81" s="231">
        <f t="shared" ref="H81:K81" si="49">G81</f>
        <v>38</v>
      </c>
      <c r="I81" s="231">
        <f t="shared" si="49"/>
        <v>38</v>
      </c>
      <c r="J81" s="231">
        <f t="shared" si="49"/>
        <v>38</v>
      </c>
      <c r="K81" s="231">
        <f t="shared" si="49"/>
        <v>38</v>
      </c>
      <c r="L81" s="233">
        <f t="shared" si="12"/>
        <v>152</v>
      </c>
    </row>
    <row r="82" spans="2:12" ht="33.75" customHeight="1" x14ac:dyDescent="0.25">
      <c r="B82" s="228">
        <v>40</v>
      </c>
      <c r="C82" s="95" t="s">
        <v>248</v>
      </c>
      <c r="D82" s="228">
        <v>15</v>
      </c>
      <c r="E82" s="228" t="s">
        <v>255</v>
      </c>
      <c r="F82" s="242">
        <v>3</v>
      </c>
      <c r="G82" s="232">
        <f t="shared" si="10"/>
        <v>45</v>
      </c>
      <c r="H82" s="231">
        <f t="shared" ref="H82:K82" si="50">G82</f>
        <v>45</v>
      </c>
      <c r="I82" s="231">
        <f t="shared" si="50"/>
        <v>45</v>
      </c>
      <c r="J82" s="231">
        <f t="shared" si="50"/>
        <v>45</v>
      </c>
      <c r="K82" s="231">
        <f t="shared" si="50"/>
        <v>45</v>
      </c>
      <c r="L82" s="233">
        <f t="shared" si="12"/>
        <v>180</v>
      </c>
    </row>
    <row r="83" spans="2:12" ht="33.75" customHeight="1" x14ac:dyDescent="0.25">
      <c r="B83" s="228">
        <v>41</v>
      </c>
      <c r="C83" s="95" t="s">
        <v>249</v>
      </c>
      <c r="D83" s="228">
        <v>16</v>
      </c>
      <c r="E83" s="228" t="s">
        <v>255</v>
      </c>
      <c r="F83" s="242">
        <v>2</v>
      </c>
      <c r="G83" s="232">
        <f t="shared" si="10"/>
        <v>32</v>
      </c>
      <c r="H83" s="231">
        <f t="shared" ref="H83:K83" si="51">G83</f>
        <v>32</v>
      </c>
      <c r="I83" s="231">
        <f t="shared" si="51"/>
        <v>32</v>
      </c>
      <c r="J83" s="231">
        <f t="shared" si="51"/>
        <v>32</v>
      </c>
      <c r="K83" s="231">
        <f t="shared" si="51"/>
        <v>32</v>
      </c>
      <c r="L83" s="233">
        <f t="shared" si="12"/>
        <v>128</v>
      </c>
    </row>
    <row r="84" spans="2:12" ht="33.75" customHeight="1" x14ac:dyDescent="0.25">
      <c r="B84" s="228">
        <v>42</v>
      </c>
      <c r="C84" s="95" t="s">
        <v>250</v>
      </c>
      <c r="D84" s="228">
        <v>16</v>
      </c>
      <c r="E84" s="228" t="s">
        <v>255</v>
      </c>
      <c r="F84" s="242">
        <v>2</v>
      </c>
      <c r="G84" s="232">
        <f t="shared" si="10"/>
        <v>32</v>
      </c>
      <c r="H84" s="231">
        <f t="shared" ref="H84:K84" si="52">G84</f>
        <v>32</v>
      </c>
      <c r="I84" s="231">
        <f t="shared" si="52"/>
        <v>32</v>
      </c>
      <c r="J84" s="231">
        <f t="shared" si="52"/>
        <v>32</v>
      </c>
      <c r="K84" s="231">
        <f t="shared" si="52"/>
        <v>32</v>
      </c>
      <c r="L84" s="233">
        <f t="shared" si="12"/>
        <v>128</v>
      </c>
    </row>
    <row r="85" spans="2:12" ht="33.75" customHeight="1" x14ac:dyDescent="0.25">
      <c r="B85" s="228">
        <v>43</v>
      </c>
      <c r="C85" s="95" t="s">
        <v>251</v>
      </c>
      <c r="D85" s="228">
        <v>15</v>
      </c>
      <c r="E85" s="228" t="s">
        <v>255</v>
      </c>
      <c r="F85" s="242">
        <v>2.5</v>
      </c>
      <c r="G85" s="232">
        <f t="shared" si="10"/>
        <v>37.5</v>
      </c>
      <c r="H85" s="231">
        <f t="shared" ref="H85:K85" si="53">G85</f>
        <v>37.5</v>
      </c>
      <c r="I85" s="231">
        <f t="shared" si="53"/>
        <v>37.5</v>
      </c>
      <c r="J85" s="231">
        <f t="shared" si="53"/>
        <v>37.5</v>
      </c>
      <c r="K85" s="231">
        <f t="shared" si="53"/>
        <v>37.5</v>
      </c>
      <c r="L85" s="233">
        <f t="shared" si="12"/>
        <v>150</v>
      </c>
    </row>
    <row r="86" spans="2:12" ht="33.75" customHeight="1" x14ac:dyDescent="0.25">
      <c r="B86" s="228">
        <v>44</v>
      </c>
      <c r="C86" s="95" t="s">
        <v>252</v>
      </c>
      <c r="D86" s="228">
        <v>15</v>
      </c>
      <c r="E86" s="228" t="s">
        <v>255</v>
      </c>
      <c r="F86" s="242">
        <v>2.5</v>
      </c>
      <c r="G86" s="232">
        <f t="shared" si="10"/>
        <v>37.5</v>
      </c>
      <c r="H86" s="231">
        <f t="shared" ref="H86:K86" si="54">G86</f>
        <v>37.5</v>
      </c>
      <c r="I86" s="231">
        <f t="shared" si="54"/>
        <v>37.5</v>
      </c>
      <c r="J86" s="231">
        <f t="shared" si="54"/>
        <v>37.5</v>
      </c>
      <c r="K86" s="231">
        <f t="shared" si="54"/>
        <v>37.5</v>
      </c>
      <c r="L86" s="233">
        <f t="shared" si="12"/>
        <v>150</v>
      </c>
    </row>
    <row r="87" spans="2:12" ht="33.75" customHeight="1" x14ac:dyDescent="0.25">
      <c r="B87" s="228">
        <v>45</v>
      </c>
      <c r="C87" s="243" t="s">
        <v>253</v>
      </c>
      <c r="D87" s="244">
        <v>15</v>
      </c>
      <c r="E87" s="244" t="s">
        <v>255</v>
      </c>
      <c r="F87" s="245">
        <v>3.5</v>
      </c>
      <c r="G87" s="232">
        <f t="shared" si="10"/>
        <v>52.5</v>
      </c>
      <c r="H87" s="231">
        <f t="shared" ref="H87:K87" si="55">G87</f>
        <v>52.5</v>
      </c>
      <c r="I87" s="231">
        <f t="shared" si="55"/>
        <v>52.5</v>
      </c>
      <c r="J87" s="231">
        <f t="shared" si="55"/>
        <v>52.5</v>
      </c>
      <c r="K87" s="231">
        <f t="shared" si="55"/>
        <v>52.5</v>
      </c>
      <c r="L87" s="233">
        <f t="shared" si="12"/>
        <v>210</v>
      </c>
    </row>
    <row r="88" spans="2:12" ht="33.75" customHeight="1" x14ac:dyDescent="0.35">
      <c r="B88" s="380" t="s">
        <v>7</v>
      </c>
      <c r="C88" s="381"/>
      <c r="D88" s="381"/>
      <c r="E88" s="381"/>
      <c r="F88" s="381"/>
      <c r="G88" s="381"/>
      <c r="H88" s="255">
        <f>SUM(H43:H87)</f>
        <v>3400</v>
      </c>
      <c r="I88" s="255">
        <f t="shared" ref="I88:K88" si="56">SUM(I43:I87)</f>
        <v>3400</v>
      </c>
      <c r="J88" s="255">
        <f t="shared" si="56"/>
        <v>3400</v>
      </c>
      <c r="K88" s="255">
        <f t="shared" si="56"/>
        <v>3400</v>
      </c>
      <c r="L88" s="252">
        <f>SUM(L43:L87)</f>
        <v>13600</v>
      </c>
    </row>
    <row r="89" spans="2:12" ht="23.25" x14ac:dyDescent="0.35">
      <c r="B89" s="96"/>
      <c r="C89" s="96"/>
      <c r="D89" s="96"/>
      <c r="E89" s="96"/>
      <c r="F89" s="96"/>
      <c r="G89" s="96"/>
      <c r="H89" s="96"/>
      <c r="I89" s="96"/>
      <c r="J89" s="96"/>
      <c r="K89" s="96"/>
      <c r="L89" s="96"/>
    </row>
    <row r="90" spans="2:12" ht="33" customHeight="1" x14ac:dyDescent="0.25">
      <c r="B90" s="362" t="s">
        <v>94</v>
      </c>
      <c r="C90" s="364"/>
      <c r="D90" s="364"/>
      <c r="E90" s="364"/>
      <c r="F90" s="364"/>
      <c r="G90" s="364"/>
      <c r="H90" s="364"/>
      <c r="I90" s="364"/>
      <c r="J90" s="364"/>
      <c r="K90" s="364"/>
      <c r="L90" s="363"/>
    </row>
    <row r="91" spans="2:12" ht="33" customHeight="1" x14ac:dyDescent="0.35">
      <c r="B91" s="316" t="s">
        <v>188</v>
      </c>
      <c r="C91" s="316" t="s">
        <v>189</v>
      </c>
      <c r="D91" s="365" t="s">
        <v>190</v>
      </c>
      <c r="E91" s="366"/>
      <c r="F91" s="317" t="s">
        <v>191</v>
      </c>
      <c r="G91" s="316" t="s">
        <v>192</v>
      </c>
      <c r="H91" s="369" t="s">
        <v>197</v>
      </c>
      <c r="I91" s="369"/>
      <c r="J91" s="369"/>
      <c r="K91" s="369"/>
      <c r="L91" s="236"/>
    </row>
    <row r="92" spans="2:12" ht="33" customHeight="1" x14ac:dyDescent="0.35">
      <c r="B92" s="316"/>
      <c r="C92" s="316"/>
      <c r="D92" s="367"/>
      <c r="E92" s="368"/>
      <c r="F92" s="317"/>
      <c r="G92" s="316"/>
      <c r="H92" s="251" t="s">
        <v>193</v>
      </c>
      <c r="I92" s="251" t="s">
        <v>194</v>
      </c>
      <c r="J92" s="251" t="s">
        <v>195</v>
      </c>
      <c r="K92" s="251" t="s">
        <v>196</v>
      </c>
      <c r="L92" s="251" t="s">
        <v>139</v>
      </c>
    </row>
    <row r="93" spans="2:12" ht="36.75" customHeight="1" x14ac:dyDescent="0.25">
      <c r="B93" s="228">
        <v>1</v>
      </c>
      <c r="C93" s="228" t="s">
        <v>258</v>
      </c>
      <c r="D93" s="362">
        <v>2</v>
      </c>
      <c r="E93" s="363"/>
      <c r="F93" s="231">
        <v>2.5</v>
      </c>
      <c r="G93" s="232">
        <f>F93*D93</f>
        <v>5</v>
      </c>
      <c r="H93" s="231">
        <f>G93</f>
        <v>5</v>
      </c>
      <c r="I93" s="231">
        <f>G93</f>
        <v>5</v>
      </c>
      <c r="J93" s="231">
        <f>H93</f>
        <v>5</v>
      </c>
      <c r="K93" s="231">
        <f>G93</f>
        <v>5</v>
      </c>
      <c r="L93" s="233">
        <f>H93+I93+J93+K93</f>
        <v>20</v>
      </c>
    </row>
    <row r="94" spans="2:12" ht="36.75" customHeight="1" x14ac:dyDescent="0.25">
      <c r="B94" s="228">
        <v>2</v>
      </c>
      <c r="C94" s="228" t="s">
        <v>259</v>
      </c>
      <c r="D94" s="362">
        <v>2</v>
      </c>
      <c r="E94" s="363"/>
      <c r="F94" s="231">
        <v>5</v>
      </c>
      <c r="G94" s="232">
        <f>F94*D94</f>
        <v>10</v>
      </c>
      <c r="H94" s="231">
        <f>G94</f>
        <v>10</v>
      </c>
      <c r="I94" s="231">
        <f>G94</f>
        <v>10</v>
      </c>
      <c r="J94" s="231">
        <f>G94</f>
        <v>10</v>
      </c>
      <c r="K94" s="231">
        <f>G94</f>
        <v>10</v>
      </c>
      <c r="L94" s="233">
        <f>H94+I94+J94+K94</f>
        <v>40</v>
      </c>
    </row>
    <row r="95" spans="2:12" ht="36.75" customHeight="1" x14ac:dyDescent="0.25">
      <c r="B95" s="228">
        <v>3</v>
      </c>
      <c r="C95" s="228" t="s">
        <v>260</v>
      </c>
      <c r="D95" s="362">
        <v>3</v>
      </c>
      <c r="E95" s="363"/>
      <c r="F95" s="231">
        <v>4.5</v>
      </c>
      <c r="G95" s="232">
        <f t="shared" ref="G95:G96" si="57">F95*D95</f>
        <v>13.5</v>
      </c>
      <c r="H95" s="231">
        <f t="shared" ref="H95:H98" si="58">G95</f>
        <v>13.5</v>
      </c>
      <c r="I95" s="231">
        <f t="shared" ref="I95:I96" si="59">G95</f>
        <v>13.5</v>
      </c>
      <c r="J95" s="231">
        <f t="shared" ref="J95:J96" si="60">G95</f>
        <v>13.5</v>
      </c>
      <c r="K95" s="231">
        <f t="shared" ref="K95:K96" si="61">G95</f>
        <v>13.5</v>
      </c>
      <c r="L95" s="233">
        <f t="shared" ref="L95:L96" si="62">H95+I95+J95+K95</f>
        <v>54</v>
      </c>
    </row>
    <row r="96" spans="2:12" ht="36.75" customHeight="1" x14ac:dyDescent="0.25">
      <c r="B96" s="228">
        <v>4</v>
      </c>
      <c r="C96" s="228" t="s">
        <v>261</v>
      </c>
      <c r="D96" s="362">
        <v>3</v>
      </c>
      <c r="E96" s="363"/>
      <c r="F96" s="231">
        <v>4</v>
      </c>
      <c r="G96" s="232">
        <f t="shared" si="57"/>
        <v>12</v>
      </c>
      <c r="H96" s="231">
        <f t="shared" si="58"/>
        <v>12</v>
      </c>
      <c r="I96" s="231">
        <f t="shared" si="59"/>
        <v>12</v>
      </c>
      <c r="J96" s="231">
        <f t="shared" si="60"/>
        <v>12</v>
      </c>
      <c r="K96" s="231">
        <f t="shared" si="61"/>
        <v>12</v>
      </c>
      <c r="L96" s="233">
        <f t="shared" si="62"/>
        <v>48</v>
      </c>
    </row>
    <row r="97" spans="2:12" ht="36.75" customHeight="1" x14ac:dyDescent="0.25">
      <c r="B97" s="228">
        <v>5</v>
      </c>
      <c r="C97" s="228" t="s">
        <v>262</v>
      </c>
      <c r="D97" s="362">
        <v>2</v>
      </c>
      <c r="E97" s="363"/>
      <c r="F97" s="231">
        <v>1.5</v>
      </c>
      <c r="G97" s="232">
        <f t="shared" ref="G97:G98" si="63">F97*D97</f>
        <v>3</v>
      </c>
      <c r="H97" s="231">
        <f t="shared" si="58"/>
        <v>3</v>
      </c>
      <c r="I97" s="231">
        <f t="shared" ref="I97:I98" si="64">G97</f>
        <v>3</v>
      </c>
      <c r="J97" s="231">
        <f t="shared" ref="J97:J98" si="65">G97</f>
        <v>3</v>
      </c>
      <c r="K97" s="231">
        <f t="shared" ref="K97:K98" si="66">G97</f>
        <v>3</v>
      </c>
      <c r="L97" s="233">
        <f t="shared" ref="L97:L98" si="67">H97+I97+J97+K97</f>
        <v>12</v>
      </c>
    </row>
    <row r="98" spans="2:12" ht="36.75" customHeight="1" x14ac:dyDescent="0.25">
      <c r="B98" s="228">
        <v>6</v>
      </c>
      <c r="C98" s="228" t="s">
        <v>264</v>
      </c>
      <c r="D98" s="362">
        <v>3</v>
      </c>
      <c r="E98" s="363"/>
      <c r="F98" s="231">
        <v>1</v>
      </c>
      <c r="G98" s="232">
        <f t="shared" si="63"/>
        <v>3</v>
      </c>
      <c r="H98" s="231">
        <f t="shared" si="58"/>
        <v>3</v>
      </c>
      <c r="I98" s="231">
        <f t="shared" si="64"/>
        <v>3</v>
      </c>
      <c r="J98" s="231">
        <f t="shared" si="65"/>
        <v>3</v>
      </c>
      <c r="K98" s="231">
        <f t="shared" si="66"/>
        <v>3</v>
      </c>
      <c r="L98" s="233">
        <f t="shared" si="67"/>
        <v>12</v>
      </c>
    </row>
    <row r="99" spans="2:12" ht="36.75" customHeight="1" x14ac:dyDescent="0.25">
      <c r="B99" s="228">
        <v>7</v>
      </c>
      <c r="C99" s="228" t="s">
        <v>263</v>
      </c>
      <c r="D99" s="362">
        <v>2</v>
      </c>
      <c r="E99" s="363"/>
      <c r="F99" s="231">
        <v>2.5</v>
      </c>
      <c r="G99" s="232">
        <f>F99*D99</f>
        <v>5</v>
      </c>
      <c r="H99" s="231">
        <f t="shared" ref="H99" si="68">G99</f>
        <v>5</v>
      </c>
      <c r="I99" s="231">
        <f t="shared" ref="I99" si="69">G99</f>
        <v>5</v>
      </c>
      <c r="J99" s="231">
        <f t="shared" ref="J99" si="70">G99</f>
        <v>5</v>
      </c>
      <c r="K99" s="231">
        <f t="shared" ref="K99" si="71">G99</f>
        <v>5</v>
      </c>
      <c r="L99" s="233">
        <f>H99+I99+J99+K99</f>
        <v>20</v>
      </c>
    </row>
    <row r="100" spans="2:12" ht="36.75" customHeight="1" x14ac:dyDescent="0.25">
      <c r="B100" s="359" t="s">
        <v>7</v>
      </c>
      <c r="C100" s="360"/>
      <c r="D100" s="360"/>
      <c r="E100" s="360"/>
      <c r="F100" s="360"/>
      <c r="G100" s="360"/>
      <c r="H100" s="253">
        <f>SUM(H93:H99)</f>
        <v>51.5</v>
      </c>
      <c r="I100" s="253">
        <f t="shared" ref="I100:K100" si="72">SUM(I93:I99)</f>
        <v>51.5</v>
      </c>
      <c r="J100" s="253">
        <f t="shared" si="72"/>
        <v>51.5</v>
      </c>
      <c r="K100" s="253">
        <f t="shared" si="72"/>
        <v>51.5</v>
      </c>
      <c r="L100" s="250">
        <f>SUM(L93:L99)</f>
        <v>206</v>
      </c>
    </row>
    <row r="101" spans="2:12" ht="23.25" x14ac:dyDescent="0.35">
      <c r="B101" s="96"/>
      <c r="C101" s="96"/>
      <c r="D101" s="96"/>
      <c r="E101" s="96"/>
      <c r="F101" s="96"/>
      <c r="G101" s="96"/>
      <c r="H101" s="96"/>
      <c r="I101" s="96"/>
      <c r="J101" s="96"/>
      <c r="K101" s="96"/>
      <c r="L101" s="96"/>
    </row>
    <row r="102" spans="2:12" ht="29.25" customHeight="1" x14ac:dyDescent="0.25">
      <c r="B102" s="362" t="s">
        <v>279</v>
      </c>
      <c r="C102" s="364"/>
      <c r="D102" s="364"/>
      <c r="E102" s="364"/>
      <c r="F102" s="364"/>
      <c r="G102" s="364"/>
      <c r="H102" s="364"/>
      <c r="I102" s="364"/>
      <c r="J102" s="364"/>
      <c r="K102" s="364"/>
      <c r="L102" s="363"/>
    </row>
    <row r="103" spans="2:12" ht="29.25" customHeight="1" x14ac:dyDescent="0.35">
      <c r="B103" s="316" t="s">
        <v>188</v>
      </c>
      <c r="C103" s="316" t="s">
        <v>189</v>
      </c>
      <c r="D103" s="365" t="s">
        <v>190</v>
      </c>
      <c r="E103" s="366"/>
      <c r="F103" s="317" t="s">
        <v>191</v>
      </c>
      <c r="G103" s="316" t="s">
        <v>192</v>
      </c>
      <c r="H103" s="369" t="s">
        <v>197</v>
      </c>
      <c r="I103" s="369"/>
      <c r="J103" s="369"/>
      <c r="K103" s="369"/>
      <c r="L103" s="236"/>
    </row>
    <row r="104" spans="2:12" ht="29.25" customHeight="1" x14ac:dyDescent="0.35">
      <c r="B104" s="316"/>
      <c r="C104" s="316"/>
      <c r="D104" s="367"/>
      <c r="E104" s="368"/>
      <c r="F104" s="317"/>
      <c r="G104" s="316"/>
      <c r="H104" s="251" t="s">
        <v>193</v>
      </c>
      <c r="I104" s="251" t="s">
        <v>194</v>
      </c>
      <c r="J104" s="251" t="s">
        <v>195</v>
      </c>
      <c r="K104" s="251" t="s">
        <v>196</v>
      </c>
      <c r="L104" s="251" t="s">
        <v>139</v>
      </c>
    </row>
    <row r="105" spans="2:12" ht="29.25" customHeight="1" x14ac:dyDescent="0.25">
      <c r="B105" s="228">
        <v>1</v>
      </c>
      <c r="C105" s="228" t="s">
        <v>280</v>
      </c>
      <c r="D105" s="362">
        <v>3</v>
      </c>
      <c r="E105" s="363"/>
      <c r="F105" s="231">
        <v>10.083</v>
      </c>
      <c r="G105" s="233">
        <f>D105*F105</f>
        <v>30.249000000000002</v>
      </c>
      <c r="H105" s="231">
        <f>G105</f>
        <v>30.249000000000002</v>
      </c>
      <c r="I105" s="231">
        <f>G105</f>
        <v>30.249000000000002</v>
      </c>
      <c r="J105" s="231">
        <f>H105</f>
        <v>30.249000000000002</v>
      </c>
      <c r="K105" s="231">
        <f>G105</f>
        <v>30.249000000000002</v>
      </c>
      <c r="L105" s="233">
        <f>H105+I105+J105+K105</f>
        <v>120.99600000000001</v>
      </c>
    </row>
    <row r="106" spans="2:12" ht="29.25" customHeight="1" x14ac:dyDescent="0.25">
      <c r="B106" s="359" t="s">
        <v>7</v>
      </c>
      <c r="C106" s="360"/>
      <c r="D106" s="360"/>
      <c r="E106" s="360"/>
      <c r="F106" s="360"/>
      <c r="G106" s="360"/>
      <c r="H106" s="360"/>
      <c r="I106" s="360"/>
      <c r="J106" s="360"/>
      <c r="K106" s="370"/>
      <c r="L106" s="250">
        <f>SUM(L105:L105)</f>
        <v>120.99600000000001</v>
      </c>
    </row>
    <row r="107" spans="2:12" ht="25.5" customHeight="1" x14ac:dyDescent="0.35">
      <c r="B107" s="96"/>
      <c r="C107" s="96"/>
      <c r="D107" s="96"/>
      <c r="E107" s="96"/>
      <c r="F107" s="96"/>
      <c r="G107" s="96"/>
      <c r="H107" s="96"/>
      <c r="I107" s="96"/>
      <c r="J107" s="96"/>
      <c r="K107" s="96"/>
      <c r="L107" s="96"/>
    </row>
    <row r="108" spans="2:12" ht="33" customHeight="1" x14ac:dyDescent="0.25">
      <c r="B108" s="362" t="s">
        <v>281</v>
      </c>
      <c r="C108" s="364"/>
      <c r="D108" s="364"/>
      <c r="E108" s="364"/>
      <c r="F108" s="364"/>
      <c r="G108" s="364"/>
      <c r="H108" s="364"/>
      <c r="I108" s="364"/>
      <c r="J108" s="364"/>
      <c r="K108" s="364"/>
      <c r="L108" s="363"/>
    </row>
    <row r="109" spans="2:12" ht="23.25" x14ac:dyDescent="0.35">
      <c r="B109" s="316" t="s">
        <v>188</v>
      </c>
      <c r="C109" s="316" t="s">
        <v>189</v>
      </c>
      <c r="D109" s="365" t="s">
        <v>190</v>
      </c>
      <c r="E109" s="366"/>
      <c r="F109" s="317" t="s">
        <v>191</v>
      </c>
      <c r="G109" s="316" t="s">
        <v>192</v>
      </c>
      <c r="H109" s="369" t="s">
        <v>197</v>
      </c>
      <c r="I109" s="369"/>
      <c r="J109" s="369"/>
      <c r="K109" s="369"/>
      <c r="L109" s="236"/>
    </row>
    <row r="110" spans="2:12" ht="23.25" x14ac:dyDescent="0.35">
      <c r="B110" s="316"/>
      <c r="C110" s="316"/>
      <c r="D110" s="367"/>
      <c r="E110" s="368"/>
      <c r="F110" s="317"/>
      <c r="G110" s="316"/>
      <c r="H110" s="251" t="s">
        <v>193</v>
      </c>
      <c r="I110" s="251" t="s">
        <v>194</v>
      </c>
      <c r="J110" s="251" t="s">
        <v>195</v>
      </c>
      <c r="K110" s="251" t="s">
        <v>196</v>
      </c>
      <c r="L110" s="251" t="s">
        <v>139</v>
      </c>
    </row>
    <row r="111" spans="2:12" ht="23.25" x14ac:dyDescent="0.25">
      <c r="B111" s="228">
        <v>1</v>
      </c>
      <c r="C111" s="228" t="s">
        <v>282</v>
      </c>
      <c r="D111" s="362">
        <v>3</v>
      </c>
      <c r="E111" s="363"/>
      <c r="F111" s="231">
        <v>10.25</v>
      </c>
      <c r="G111" s="232">
        <f>F111*D111</f>
        <v>30.75</v>
      </c>
      <c r="H111" s="231">
        <f>G111</f>
        <v>30.75</v>
      </c>
      <c r="I111" s="231">
        <f>G111</f>
        <v>30.75</v>
      </c>
      <c r="J111" s="231">
        <f>H111</f>
        <v>30.75</v>
      </c>
      <c r="K111" s="231">
        <f>G111</f>
        <v>30.75</v>
      </c>
      <c r="L111" s="233">
        <f>H111+I111+J111+K111</f>
        <v>123</v>
      </c>
    </row>
    <row r="112" spans="2:12" ht="23.25" x14ac:dyDescent="0.25">
      <c r="B112" s="359" t="s">
        <v>7</v>
      </c>
      <c r="C112" s="360"/>
      <c r="D112" s="360"/>
      <c r="E112" s="360"/>
      <c r="F112" s="360"/>
      <c r="G112" s="360"/>
      <c r="H112" s="360"/>
      <c r="I112" s="360"/>
      <c r="J112" s="360"/>
      <c r="K112" s="370"/>
      <c r="L112" s="250">
        <f>SUM(L111:L111)</f>
        <v>123</v>
      </c>
    </row>
    <row r="113" spans="2:12" ht="29.25" customHeight="1" x14ac:dyDescent="0.35">
      <c r="B113" s="96"/>
      <c r="C113" s="96"/>
      <c r="D113" s="96"/>
      <c r="E113" s="96"/>
      <c r="F113" s="96"/>
      <c r="G113" s="96"/>
      <c r="H113" s="96"/>
      <c r="I113" s="96"/>
      <c r="J113" s="96"/>
      <c r="K113" s="96"/>
      <c r="L113" s="96"/>
    </row>
    <row r="114" spans="2:12" ht="23.25" x14ac:dyDescent="0.25">
      <c r="B114" s="362" t="s">
        <v>266</v>
      </c>
      <c r="C114" s="364"/>
      <c r="D114" s="364"/>
      <c r="E114" s="364"/>
      <c r="F114" s="364"/>
      <c r="G114" s="364"/>
      <c r="H114" s="364"/>
      <c r="I114" s="364"/>
      <c r="J114" s="364"/>
      <c r="K114" s="364"/>
      <c r="L114" s="363"/>
    </row>
    <row r="115" spans="2:12" ht="33" customHeight="1" x14ac:dyDescent="0.35">
      <c r="B115" s="316" t="s">
        <v>188</v>
      </c>
      <c r="C115" s="316" t="s">
        <v>189</v>
      </c>
      <c r="D115" s="365" t="s">
        <v>190</v>
      </c>
      <c r="E115" s="366"/>
      <c r="F115" s="317" t="s">
        <v>191</v>
      </c>
      <c r="G115" s="316" t="s">
        <v>192</v>
      </c>
      <c r="H115" s="369" t="s">
        <v>197</v>
      </c>
      <c r="I115" s="369"/>
      <c r="J115" s="369"/>
      <c r="K115" s="369"/>
      <c r="L115" s="236"/>
    </row>
    <row r="116" spans="2:12" ht="33" customHeight="1" x14ac:dyDescent="0.35">
      <c r="B116" s="316"/>
      <c r="C116" s="316"/>
      <c r="D116" s="367"/>
      <c r="E116" s="368"/>
      <c r="F116" s="317"/>
      <c r="G116" s="316"/>
      <c r="H116" s="251" t="s">
        <v>193</v>
      </c>
      <c r="I116" s="251" t="s">
        <v>194</v>
      </c>
      <c r="J116" s="251" t="s">
        <v>195</v>
      </c>
      <c r="K116" s="251" t="s">
        <v>196</v>
      </c>
      <c r="L116" s="251" t="s">
        <v>139</v>
      </c>
    </row>
    <row r="117" spans="2:12" ht="33" customHeight="1" x14ac:dyDescent="0.25">
      <c r="B117" s="228">
        <v>1</v>
      </c>
      <c r="C117" s="228" t="s">
        <v>69</v>
      </c>
      <c r="D117" s="362">
        <v>1</v>
      </c>
      <c r="E117" s="363"/>
      <c r="F117" s="231">
        <v>200</v>
      </c>
      <c r="G117" s="232">
        <f>F117*D117</f>
        <v>200</v>
      </c>
      <c r="H117" s="231">
        <f>G117</f>
        <v>200</v>
      </c>
      <c r="I117" s="231">
        <f>G117</f>
        <v>200</v>
      </c>
      <c r="J117" s="231">
        <f>H117</f>
        <v>200</v>
      </c>
      <c r="K117" s="231">
        <f>G117</f>
        <v>200</v>
      </c>
      <c r="L117" s="233">
        <f>H117+I117+J117+K117</f>
        <v>800</v>
      </c>
    </row>
    <row r="118" spans="2:12" ht="33" customHeight="1" x14ac:dyDescent="0.25">
      <c r="B118" s="228">
        <v>2</v>
      </c>
      <c r="C118" s="228" t="s">
        <v>265</v>
      </c>
      <c r="D118" s="362">
        <v>3</v>
      </c>
      <c r="E118" s="363"/>
      <c r="F118" s="231">
        <v>100</v>
      </c>
      <c r="G118" s="232">
        <f>F118*D118</f>
        <v>300</v>
      </c>
      <c r="H118" s="231">
        <f>G118</f>
        <v>300</v>
      </c>
      <c r="I118" s="231">
        <f>G118</f>
        <v>300</v>
      </c>
      <c r="J118" s="231">
        <f>G118</f>
        <v>300</v>
      </c>
      <c r="K118" s="231">
        <f>G118</f>
        <v>300</v>
      </c>
      <c r="L118" s="233">
        <f>H118+I118+J118+K118</f>
        <v>1200</v>
      </c>
    </row>
    <row r="119" spans="2:12" ht="33" customHeight="1" x14ac:dyDescent="0.25">
      <c r="B119" s="359" t="s">
        <v>7</v>
      </c>
      <c r="C119" s="360"/>
      <c r="D119" s="360"/>
      <c r="E119" s="360"/>
      <c r="F119" s="360"/>
      <c r="G119" s="360"/>
      <c r="H119" s="253">
        <f>SUM(H117:H118)</f>
        <v>500</v>
      </c>
      <c r="I119" s="253">
        <f t="shared" ref="I119:K119" si="73">SUM(I117:I118)</f>
        <v>500</v>
      </c>
      <c r="J119" s="253">
        <f t="shared" si="73"/>
        <v>500</v>
      </c>
      <c r="K119" s="253">
        <f t="shared" si="73"/>
        <v>500</v>
      </c>
      <c r="L119" s="250">
        <f>SUM(L117:L118)</f>
        <v>2000</v>
      </c>
    </row>
    <row r="120" spans="2:12" ht="23.25" x14ac:dyDescent="0.35">
      <c r="B120" s="96"/>
      <c r="C120" s="96"/>
      <c r="D120" s="96"/>
      <c r="E120" s="96"/>
      <c r="F120" s="96"/>
      <c r="G120" s="96"/>
      <c r="H120" s="96"/>
      <c r="I120" s="96"/>
      <c r="J120" s="96"/>
      <c r="K120" s="96"/>
      <c r="L120" s="96"/>
    </row>
    <row r="121" spans="2:12" ht="31.5" customHeight="1" x14ac:dyDescent="0.25">
      <c r="B121" s="362" t="s">
        <v>269</v>
      </c>
      <c r="C121" s="364"/>
      <c r="D121" s="364"/>
      <c r="E121" s="364"/>
      <c r="F121" s="364"/>
      <c r="G121" s="364"/>
      <c r="H121" s="364"/>
      <c r="I121" s="364"/>
      <c r="J121" s="364"/>
      <c r="K121" s="364"/>
      <c r="L121" s="363"/>
    </row>
    <row r="122" spans="2:12" ht="31.5" customHeight="1" x14ac:dyDescent="0.35">
      <c r="B122" s="316" t="s">
        <v>188</v>
      </c>
      <c r="C122" s="316" t="s">
        <v>189</v>
      </c>
      <c r="D122" s="316" t="s">
        <v>190</v>
      </c>
      <c r="E122" s="316" t="s">
        <v>268</v>
      </c>
      <c r="F122" s="317" t="s">
        <v>191</v>
      </c>
      <c r="G122" s="316" t="s">
        <v>192</v>
      </c>
      <c r="H122" s="369" t="s">
        <v>197</v>
      </c>
      <c r="I122" s="369"/>
      <c r="J122" s="369"/>
      <c r="K122" s="369"/>
      <c r="L122" s="236"/>
    </row>
    <row r="123" spans="2:12" ht="31.5" customHeight="1" x14ac:dyDescent="0.35">
      <c r="B123" s="316"/>
      <c r="C123" s="316"/>
      <c r="D123" s="316"/>
      <c r="E123" s="316"/>
      <c r="F123" s="317"/>
      <c r="G123" s="316"/>
      <c r="H123" s="251" t="s">
        <v>193</v>
      </c>
      <c r="I123" s="251" t="s">
        <v>194</v>
      </c>
      <c r="J123" s="251" t="s">
        <v>195</v>
      </c>
      <c r="K123" s="251" t="s">
        <v>196</v>
      </c>
      <c r="L123" s="251" t="s">
        <v>139</v>
      </c>
    </row>
    <row r="124" spans="2:12" ht="31.5" customHeight="1" x14ac:dyDescent="0.25">
      <c r="B124" s="228">
        <v>1</v>
      </c>
      <c r="C124" s="228" t="s">
        <v>69</v>
      </c>
      <c r="D124" s="228">
        <v>4</v>
      </c>
      <c r="E124" s="228">
        <v>1</v>
      </c>
      <c r="F124" s="231">
        <v>60</v>
      </c>
      <c r="G124" s="232">
        <f>F124*D124*E124</f>
        <v>240</v>
      </c>
      <c r="H124" s="231">
        <f t="shared" ref="H124:H129" si="74">G124</f>
        <v>240</v>
      </c>
      <c r="I124" s="231">
        <f t="shared" ref="I124:K124" si="75">H124</f>
        <v>240</v>
      </c>
      <c r="J124" s="231">
        <f t="shared" si="75"/>
        <v>240</v>
      </c>
      <c r="K124" s="231">
        <f t="shared" si="75"/>
        <v>240</v>
      </c>
      <c r="L124" s="233">
        <f t="shared" ref="L124:L129" si="76">H124+I124+J124+K124</f>
        <v>960</v>
      </c>
    </row>
    <row r="125" spans="2:12" ht="31.5" customHeight="1" x14ac:dyDescent="0.25">
      <c r="B125" s="228">
        <v>2</v>
      </c>
      <c r="C125" s="228" t="s">
        <v>265</v>
      </c>
      <c r="D125" s="228">
        <v>3</v>
      </c>
      <c r="E125" s="228">
        <v>3</v>
      </c>
      <c r="F125" s="231">
        <v>60</v>
      </c>
      <c r="G125" s="232">
        <f>F125*D125*E125</f>
        <v>540</v>
      </c>
      <c r="H125" s="231">
        <f t="shared" si="74"/>
        <v>540</v>
      </c>
      <c r="I125" s="231">
        <f t="shared" ref="I125:K125" si="77">H125</f>
        <v>540</v>
      </c>
      <c r="J125" s="231">
        <f t="shared" si="77"/>
        <v>540</v>
      </c>
      <c r="K125" s="231">
        <f t="shared" si="77"/>
        <v>540</v>
      </c>
      <c r="L125" s="233">
        <f t="shared" si="76"/>
        <v>2160</v>
      </c>
    </row>
    <row r="126" spans="2:12" ht="31.5" customHeight="1" x14ac:dyDescent="0.25">
      <c r="B126" s="228">
        <v>3</v>
      </c>
      <c r="C126" s="228" t="s">
        <v>267</v>
      </c>
      <c r="D126" s="228">
        <v>1</v>
      </c>
      <c r="E126" s="228">
        <v>9</v>
      </c>
      <c r="F126" s="231">
        <v>40</v>
      </c>
      <c r="G126" s="232">
        <f>F126*D126*E126</f>
        <v>360</v>
      </c>
      <c r="H126" s="231">
        <f t="shared" si="74"/>
        <v>360</v>
      </c>
      <c r="I126" s="231">
        <f t="shared" ref="I126:I128" si="78">G126</f>
        <v>360</v>
      </c>
      <c r="J126" s="231">
        <f t="shared" ref="J126:J128" si="79">G126</f>
        <v>360</v>
      </c>
      <c r="K126" s="231">
        <f t="shared" ref="K126:K128" si="80">G126</f>
        <v>360</v>
      </c>
      <c r="L126" s="233">
        <f t="shared" si="76"/>
        <v>1440</v>
      </c>
    </row>
    <row r="127" spans="2:12" ht="31.5" customHeight="1" x14ac:dyDescent="0.25">
      <c r="B127" s="228">
        <v>4</v>
      </c>
      <c r="C127" s="228" t="s">
        <v>69</v>
      </c>
      <c r="D127" s="228">
        <v>2</v>
      </c>
      <c r="E127" s="228">
        <v>1</v>
      </c>
      <c r="F127" s="231">
        <v>24</v>
      </c>
      <c r="G127" s="232">
        <f>F127*D127*E127</f>
        <v>48</v>
      </c>
      <c r="H127" s="231">
        <f t="shared" si="74"/>
        <v>48</v>
      </c>
      <c r="I127" s="231">
        <f t="shared" si="78"/>
        <v>48</v>
      </c>
      <c r="J127" s="231">
        <f t="shared" si="79"/>
        <v>48</v>
      </c>
      <c r="K127" s="231">
        <f t="shared" si="80"/>
        <v>48</v>
      </c>
      <c r="L127" s="233">
        <f t="shared" si="76"/>
        <v>192</v>
      </c>
    </row>
    <row r="128" spans="2:12" ht="31.5" customHeight="1" x14ac:dyDescent="0.25">
      <c r="B128" s="228">
        <v>5</v>
      </c>
      <c r="C128" s="228" t="s">
        <v>265</v>
      </c>
      <c r="D128" s="228">
        <v>3</v>
      </c>
      <c r="E128" s="228">
        <v>3</v>
      </c>
      <c r="F128" s="231">
        <v>48</v>
      </c>
      <c r="G128" s="232">
        <f>F128*D128*E128</f>
        <v>432</v>
      </c>
      <c r="H128" s="231">
        <f t="shared" si="74"/>
        <v>432</v>
      </c>
      <c r="I128" s="231">
        <f t="shared" si="78"/>
        <v>432</v>
      </c>
      <c r="J128" s="231">
        <f t="shared" si="79"/>
        <v>432</v>
      </c>
      <c r="K128" s="231">
        <f t="shared" si="80"/>
        <v>432</v>
      </c>
      <c r="L128" s="233">
        <f t="shared" si="76"/>
        <v>1728</v>
      </c>
    </row>
    <row r="129" spans="2:12" ht="31.5" customHeight="1" x14ac:dyDescent="0.25">
      <c r="B129" s="228">
        <v>6</v>
      </c>
      <c r="C129" s="228" t="s">
        <v>267</v>
      </c>
      <c r="D129" s="229">
        <v>3</v>
      </c>
      <c r="E129" s="228">
        <v>3</v>
      </c>
      <c r="F129" s="231">
        <v>32</v>
      </c>
      <c r="G129" s="232">
        <v>290</v>
      </c>
      <c r="H129" s="231">
        <f t="shared" si="74"/>
        <v>290</v>
      </c>
      <c r="I129" s="231">
        <f t="shared" ref="I129" si="81">G129</f>
        <v>290</v>
      </c>
      <c r="J129" s="231">
        <f t="shared" ref="J129" si="82">G129</f>
        <v>290</v>
      </c>
      <c r="K129" s="231">
        <f t="shared" ref="K129" si="83">G129</f>
        <v>290</v>
      </c>
      <c r="L129" s="233">
        <f t="shared" si="76"/>
        <v>1160</v>
      </c>
    </row>
    <row r="130" spans="2:12" ht="31.5" customHeight="1" x14ac:dyDescent="0.25">
      <c r="B130" s="359" t="s">
        <v>7</v>
      </c>
      <c r="C130" s="360"/>
      <c r="D130" s="360"/>
      <c r="E130" s="360"/>
      <c r="F130" s="360"/>
      <c r="G130" s="360"/>
      <c r="H130" s="253">
        <f>SUM(H124:H129)</f>
        <v>1910</v>
      </c>
      <c r="I130" s="253">
        <f t="shared" ref="I130:K130" si="84">SUM(I124:I129)</f>
        <v>1910</v>
      </c>
      <c r="J130" s="253">
        <f t="shared" si="84"/>
        <v>1910</v>
      </c>
      <c r="K130" s="253">
        <f t="shared" si="84"/>
        <v>1910</v>
      </c>
      <c r="L130" s="250">
        <f>SUM(L124:L129)</f>
        <v>7640</v>
      </c>
    </row>
    <row r="131" spans="2:12" ht="23.25" x14ac:dyDescent="0.35">
      <c r="B131" s="96"/>
      <c r="C131" s="96"/>
      <c r="D131" s="96"/>
      <c r="E131" s="96"/>
      <c r="F131" s="96"/>
      <c r="G131" s="96"/>
      <c r="H131" s="96"/>
      <c r="I131" s="96"/>
      <c r="J131" s="96"/>
      <c r="K131" s="96"/>
      <c r="L131" s="96"/>
    </row>
    <row r="132" spans="2:12" ht="32.25" customHeight="1" x14ac:dyDescent="0.25">
      <c r="B132" s="362" t="s">
        <v>270</v>
      </c>
      <c r="C132" s="364"/>
      <c r="D132" s="364"/>
      <c r="E132" s="364"/>
      <c r="F132" s="364"/>
      <c r="G132" s="364"/>
      <c r="H132" s="364"/>
      <c r="I132" s="364"/>
      <c r="J132" s="364"/>
      <c r="K132" s="364"/>
      <c r="L132" s="363"/>
    </row>
    <row r="133" spans="2:12" ht="31.5" customHeight="1" x14ac:dyDescent="0.35">
      <c r="B133" s="316" t="s">
        <v>188</v>
      </c>
      <c r="C133" s="316" t="s">
        <v>189</v>
      </c>
      <c r="D133" s="365" t="s">
        <v>190</v>
      </c>
      <c r="E133" s="366"/>
      <c r="F133" s="317" t="s">
        <v>191</v>
      </c>
      <c r="G133" s="316" t="s">
        <v>192</v>
      </c>
      <c r="H133" s="369" t="s">
        <v>197</v>
      </c>
      <c r="I133" s="369"/>
      <c r="J133" s="369"/>
      <c r="K133" s="369"/>
      <c r="L133" s="236"/>
    </row>
    <row r="134" spans="2:12" ht="26.25" customHeight="1" x14ac:dyDescent="0.35">
      <c r="B134" s="316"/>
      <c r="C134" s="316"/>
      <c r="D134" s="367"/>
      <c r="E134" s="368"/>
      <c r="F134" s="317"/>
      <c r="G134" s="316"/>
      <c r="H134" s="251" t="s">
        <v>193</v>
      </c>
      <c r="I134" s="251" t="s">
        <v>194</v>
      </c>
      <c r="J134" s="251" t="s">
        <v>195</v>
      </c>
      <c r="K134" s="251" t="s">
        <v>196</v>
      </c>
      <c r="L134" s="251" t="s">
        <v>139</v>
      </c>
    </row>
    <row r="135" spans="2:12" ht="42.75" customHeight="1" x14ac:dyDescent="0.25">
      <c r="B135" s="228">
        <v>1</v>
      </c>
      <c r="C135" s="228" t="s">
        <v>271</v>
      </c>
      <c r="D135" s="362">
        <v>3</v>
      </c>
      <c r="E135" s="363"/>
      <c r="F135" s="231">
        <v>100</v>
      </c>
      <c r="G135" s="232">
        <f>F135*D135</f>
        <v>300</v>
      </c>
      <c r="H135" s="231">
        <f>G135</f>
        <v>300</v>
      </c>
      <c r="I135" s="231">
        <f>G135</f>
        <v>300</v>
      </c>
      <c r="J135" s="231">
        <f>H135</f>
        <v>300</v>
      </c>
      <c r="K135" s="231">
        <f>G135</f>
        <v>300</v>
      </c>
      <c r="L135" s="233">
        <f>H135+I135+J135+K135</f>
        <v>1200</v>
      </c>
    </row>
    <row r="136" spans="2:12" ht="42.75" customHeight="1" x14ac:dyDescent="0.25">
      <c r="B136" s="359" t="s">
        <v>7</v>
      </c>
      <c r="C136" s="360"/>
      <c r="D136" s="360"/>
      <c r="E136" s="360"/>
      <c r="F136" s="360"/>
      <c r="G136" s="360"/>
      <c r="H136" s="360"/>
      <c r="I136" s="360"/>
      <c r="J136" s="360"/>
      <c r="K136" s="370"/>
      <c r="L136" s="250">
        <f>SUM(L135:L135)</f>
        <v>1200</v>
      </c>
    </row>
    <row r="137" spans="2:12" ht="42.75" customHeight="1" x14ac:dyDescent="0.35">
      <c r="B137" s="316" t="s">
        <v>188</v>
      </c>
      <c r="C137" s="316" t="s">
        <v>189</v>
      </c>
      <c r="D137" s="365" t="s">
        <v>289</v>
      </c>
      <c r="E137" s="366"/>
      <c r="F137" s="317" t="s">
        <v>290</v>
      </c>
      <c r="G137" s="316" t="s">
        <v>192</v>
      </c>
      <c r="H137" s="369" t="s">
        <v>197</v>
      </c>
      <c r="I137" s="369"/>
      <c r="J137" s="369"/>
      <c r="K137" s="369"/>
      <c r="L137" s="236"/>
    </row>
    <row r="138" spans="2:12" ht="42.75" customHeight="1" x14ac:dyDescent="0.35">
      <c r="B138" s="316"/>
      <c r="C138" s="316"/>
      <c r="D138" s="367"/>
      <c r="E138" s="368"/>
      <c r="F138" s="317"/>
      <c r="G138" s="316"/>
      <c r="H138" s="251" t="s">
        <v>193</v>
      </c>
      <c r="I138" s="251" t="s">
        <v>194</v>
      </c>
      <c r="J138" s="251" t="s">
        <v>195</v>
      </c>
      <c r="K138" s="251" t="s">
        <v>196</v>
      </c>
      <c r="L138" s="251" t="s">
        <v>139</v>
      </c>
    </row>
    <row r="139" spans="2:12" ht="57" customHeight="1" x14ac:dyDescent="0.25">
      <c r="B139" s="228">
        <v>1</v>
      </c>
      <c r="C139" s="256" t="s">
        <v>287</v>
      </c>
      <c r="D139" s="362">
        <v>3</v>
      </c>
      <c r="E139" s="363"/>
      <c r="F139" s="231">
        <v>1473.3679999999999</v>
      </c>
      <c r="G139" s="232">
        <f>F139*D139</f>
        <v>4420.1039999999994</v>
      </c>
      <c r="H139" s="231">
        <f>F139*1</f>
        <v>1473.3679999999999</v>
      </c>
      <c r="I139" s="231">
        <f>F139*D139</f>
        <v>4420.1039999999994</v>
      </c>
      <c r="J139" s="231">
        <f>F139*D139</f>
        <v>4420.1039999999994</v>
      </c>
      <c r="K139" s="231">
        <f>F139*D139</f>
        <v>4420.1039999999994</v>
      </c>
      <c r="L139" s="233">
        <f>H139+I139+J139+K139</f>
        <v>14733.679999999998</v>
      </c>
    </row>
    <row r="140" spans="2:12" ht="57.75" customHeight="1" x14ac:dyDescent="0.25">
      <c r="B140" s="228">
        <v>2</v>
      </c>
      <c r="C140" s="256" t="s">
        <v>288</v>
      </c>
      <c r="D140" s="362">
        <v>3</v>
      </c>
      <c r="E140" s="363"/>
      <c r="F140" s="231">
        <v>1473.3679999999999</v>
      </c>
      <c r="G140" s="232">
        <f>F140*D140</f>
        <v>4420.1039999999994</v>
      </c>
      <c r="H140" s="231">
        <v>4838</v>
      </c>
      <c r="I140" s="231">
        <f>F140*D140</f>
        <v>4420.1039999999994</v>
      </c>
      <c r="J140" s="231">
        <f>D140*F140</f>
        <v>4420.1039999999994</v>
      </c>
      <c r="K140" s="231">
        <f>D140*F140</f>
        <v>4420.1039999999994</v>
      </c>
      <c r="L140" s="233">
        <f>H140+I140+J140+K140</f>
        <v>18098.311999999998</v>
      </c>
    </row>
    <row r="141" spans="2:12" ht="42.75" customHeight="1" x14ac:dyDescent="0.25">
      <c r="B141" s="359" t="s">
        <v>7</v>
      </c>
      <c r="C141" s="360"/>
      <c r="D141" s="360"/>
      <c r="E141" s="360"/>
      <c r="F141" s="360"/>
      <c r="G141" s="370"/>
      <c r="H141" s="253">
        <f>SUM(H139:H140)</f>
        <v>6311.3680000000004</v>
      </c>
      <c r="I141" s="253">
        <f>SUM(I139:I140)</f>
        <v>8840.2079999999987</v>
      </c>
      <c r="J141" s="253">
        <f>SUM(J139:J140)</f>
        <v>8840.2079999999987</v>
      </c>
      <c r="K141" s="253">
        <f>SUM(K139:K140)</f>
        <v>8840.2079999999987</v>
      </c>
      <c r="L141" s="258">
        <f>SUM(L139:L140)</f>
        <v>32831.991999999998</v>
      </c>
    </row>
    <row r="142" spans="2:12" ht="23.25" x14ac:dyDescent="0.35">
      <c r="B142" s="96"/>
      <c r="C142" s="96"/>
      <c r="D142" s="96"/>
      <c r="E142" s="96"/>
      <c r="F142" s="96"/>
      <c r="G142" s="96"/>
      <c r="H142" s="96"/>
      <c r="I142" s="96"/>
      <c r="J142" s="96"/>
      <c r="K142" s="96"/>
      <c r="L142" s="96"/>
    </row>
    <row r="143" spans="2:12" ht="23.25" x14ac:dyDescent="0.35">
      <c r="B143" s="96"/>
      <c r="C143" s="100"/>
      <c r="D143" s="96"/>
      <c r="E143" s="96"/>
      <c r="F143" s="96"/>
      <c r="G143" s="96"/>
      <c r="H143" s="96"/>
      <c r="I143" s="361" t="s">
        <v>274</v>
      </c>
      <c r="J143" s="361"/>
      <c r="K143" s="96"/>
      <c r="L143" s="96"/>
    </row>
    <row r="144" spans="2:12" ht="23.25" x14ac:dyDescent="0.35">
      <c r="B144" s="96"/>
      <c r="C144" s="100" t="s">
        <v>272</v>
      </c>
      <c r="D144" s="96"/>
      <c r="E144" s="96"/>
      <c r="F144" s="96"/>
      <c r="G144" s="96"/>
      <c r="H144" s="96"/>
      <c r="I144" s="361" t="s">
        <v>275</v>
      </c>
      <c r="J144" s="361"/>
      <c r="K144" s="96"/>
      <c r="L144" s="96"/>
    </row>
    <row r="145" spans="2:12" ht="38.25" customHeight="1" x14ac:dyDescent="0.35">
      <c r="B145" s="96"/>
      <c r="C145" s="100"/>
      <c r="D145" s="96"/>
      <c r="E145" s="96"/>
      <c r="F145" s="96"/>
      <c r="G145" s="96"/>
      <c r="H145" s="96"/>
      <c r="I145" s="96"/>
      <c r="J145" s="96"/>
      <c r="K145" s="96"/>
      <c r="L145" s="246"/>
    </row>
    <row r="146" spans="2:12" ht="23.25" x14ac:dyDescent="0.35">
      <c r="B146" s="96"/>
      <c r="C146" s="100" t="s">
        <v>273</v>
      </c>
      <c r="D146" s="96"/>
      <c r="E146" s="96"/>
      <c r="F146" s="96"/>
      <c r="G146" s="96"/>
      <c r="H146" s="96"/>
      <c r="I146" s="361" t="s">
        <v>276</v>
      </c>
      <c r="J146" s="361"/>
      <c r="K146" s="96"/>
      <c r="L146" s="96"/>
    </row>
    <row r="147" spans="2:12" ht="23.25" x14ac:dyDescent="0.35">
      <c r="B147" s="96"/>
      <c r="C147" s="100" t="s">
        <v>111</v>
      </c>
      <c r="D147" s="96"/>
      <c r="E147" s="96"/>
      <c r="F147" s="96"/>
      <c r="G147" s="96"/>
      <c r="H147" s="96"/>
      <c r="I147" s="361" t="s">
        <v>69</v>
      </c>
      <c r="J147" s="361"/>
      <c r="K147" s="96"/>
      <c r="L147" s="96"/>
    </row>
  </sheetData>
  <mergeCells count="128">
    <mergeCell ref="D14:E14"/>
    <mergeCell ref="D18:E19"/>
    <mergeCell ref="B38:K38"/>
    <mergeCell ref="B112:K112"/>
    <mergeCell ref="B100:G100"/>
    <mergeCell ref="B88:G88"/>
    <mergeCell ref="B32:G32"/>
    <mergeCell ref="B24:G24"/>
    <mergeCell ref="B108:L108"/>
    <mergeCell ref="B109:B110"/>
    <mergeCell ref="C109:C110"/>
    <mergeCell ref="D109:E110"/>
    <mergeCell ref="F109:F110"/>
    <mergeCell ref="G109:G110"/>
    <mergeCell ref="H109:K109"/>
    <mergeCell ref="D111:E111"/>
    <mergeCell ref="F27:F28"/>
    <mergeCell ref="G27:G28"/>
    <mergeCell ref="H27:K27"/>
    <mergeCell ref="B34:L34"/>
    <mergeCell ref="B35:B36"/>
    <mergeCell ref="C35:C36"/>
    <mergeCell ref="F35:F36"/>
    <mergeCell ref="G35:G36"/>
    <mergeCell ref="D20:E20"/>
    <mergeCell ref="D21:E21"/>
    <mergeCell ref="D22:E22"/>
    <mergeCell ref="D37:E37"/>
    <mergeCell ref="E41:E42"/>
    <mergeCell ref="B90:L90"/>
    <mergeCell ref="B7:L7"/>
    <mergeCell ref="B8:L8"/>
    <mergeCell ref="H9:K9"/>
    <mergeCell ref="G9:G10"/>
    <mergeCell ref="F9:F10"/>
    <mergeCell ref="C9:C10"/>
    <mergeCell ref="B9:B10"/>
    <mergeCell ref="H18:K18"/>
    <mergeCell ref="B17:L17"/>
    <mergeCell ref="B18:B19"/>
    <mergeCell ref="C18:C19"/>
    <mergeCell ref="F18:F19"/>
    <mergeCell ref="G18:G19"/>
    <mergeCell ref="B15:G15"/>
    <mergeCell ref="D9:E10"/>
    <mergeCell ref="D11:E11"/>
    <mergeCell ref="D12:E12"/>
    <mergeCell ref="D13:E13"/>
    <mergeCell ref="B91:B92"/>
    <mergeCell ref="C91:C92"/>
    <mergeCell ref="D91:E92"/>
    <mergeCell ref="F91:F92"/>
    <mergeCell ref="G91:G92"/>
    <mergeCell ref="H91:K91"/>
    <mergeCell ref="D23:E23"/>
    <mergeCell ref="D27:E28"/>
    <mergeCell ref="D29:E29"/>
    <mergeCell ref="D30:E30"/>
    <mergeCell ref="D31:E31"/>
    <mergeCell ref="B40:L40"/>
    <mergeCell ref="B41:B42"/>
    <mergeCell ref="C41:C42"/>
    <mergeCell ref="D41:D42"/>
    <mergeCell ref="F41:F42"/>
    <mergeCell ref="G41:G42"/>
    <mergeCell ref="H41:K41"/>
    <mergeCell ref="B26:L26"/>
    <mergeCell ref="B27:B28"/>
    <mergeCell ref="C27:C28"/>
    <mergeCell ref="H35:K35"/>
    <mergeCell ref="D35:E36"/>
    <mergeCell ref="B114:L114"/>
    <mergeCell ref="B115:B116"/>
    <mergeCell ref="C115:C116"/>
    <mergeCell ref="D115:E116"/>
    <mergeCell ref="F115:F116"/>
    <mergeCell ref="G115:G116"/>
    <mergeCell ref="H115:K115"/>
    <mergeCell ref="D93:E93"/>
    <mergeCell ref="D94:E94"/>
    <mergeCell ref="D99:E99"/>
    <mergeCell ref="D95:E95"/>
    <mergeCell ref="D96:E96"/>
    <mergeCell ref="D97:E97"/>
    <mergeCell ref="D98:E98"/>
    <mergeCell ref="B102:L102"/>
    <mergeCell ref="B103:B104"/>
    <mergeCell ref="C103:C104"/>
    <mergeCell ref="D103:E104"/>
    <mergeCell ref="F103:F104"/>
    <mergeCell ref="G103:G104"/>
    <mergeCell ref="H103:K103"/>
    <mergeCell ref="D105:E105"/>
    <mergeCell ref="B106:K106"/>
    <mergeCell ref="H122:K122"/>
    <mergeCell ref="E122:E123"/>
    <mergeCell ref="D122:D123"/>
    <mergeCell ref="B122:B123"/>
    <mergeCell ref="C122:C123"/>
    <mergeCell ref="F122:F123"/>
    <mergeCell ref="G122:G123"/>
    <mergeCell ref="D117:E117"/>
    <mergeCell ref="D118:E118"/>
    <mergeCell ref="B121:L121"/>
    <mergeCell ref="B130:G130"/>
    <mergeCell ref="B119:G119"/>
    <mergeCell ref="I146:J146"/>
    <mergeCell ref="I147:J147"/>
    <mergeCell ref="D135:E135"/>
    <mergeCell ref="I143:J143"/>
    <mergeCell ref="I144:J144"/>
    <mergeCell ref="B132:L132"/>
    <mergeCell ref="B133:B134"/>
    <mergeCell ref="C133:C134"/>
    <mergeCell ref="D133:E134"/>
    <mergeCell ref="F133:F134"/>
    <mergeCell ref="G133:G134"/>
    <mergeCell ref="H133:K133"/>
    <mergeCell ref="B136:K136"/>
    <mergeCell ref="B137:B138"/>
    <mergeCell ref="C137:C138"/>
    <mergeCell ref="D137:E138"/>
    <mergeCell ref="F137:F138"/>
    <mergeCell ref="G137:G138"/>
    <mergeCell ref="H137:K137"/>
    <mergeCell ref="D139:E139"/>
    <mergeCell ref="D140:E140"/>
    <mergeCell ref="B141:G141"/>
  </mergeCells>
  <phoneticPr fontId="27" type="noConversion"/>
  <pageMargins left="0.35" right="0.35" top="0.2" bottom="0.2" header="0.3" footer="0.3"/>
  <pageSetup paperSize="8" scale="47" orientation="portrait" r:id="rId1"/>
  <rowBreaks count="1" manualBreakCount="1">
    <brk id="74" min="1" max="11" man="1"/>
  </row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00F8CD-1EAB-4069-8DD1-0D873018E34D}">
  <dimension ref="B1:O53"/>
  <sheetViews>
    <sheetView topLeftCell="A10" zoomScale="80" zoomScaleNormal="80" workbookViewId="0">
      <selection activeCell="C49" sqref="C49:J53"/>
    </sheetView>
  </sheetViews>
  <sheetFormatPr defaultRowHeight="15" x14ac:dyDescent="0.25"/>
  <cols>
    <col min="3" max="3" width="56.42578125" customWidth="1"/>
    <col min="4" max="4" width="21" customWidth="1"/>
    <col min="5" max="5" width="20.85546875" customWidth="1"/>
    <col min="6" max="6" width="24.85546875" customWidth="1"/>
    <col min="7" max="7" width="26.42578125" customWidth="1"/>
    <col min="8" max="8" width="21.85546875" customWidth="1"/>
    <col min="9" max="9" width="23.7109375" customWidth="1"/>
    <col min="10" max="10" width="22.28515625" customWidth="1"/>
    <col min="11" max="11" width="24.85546875" customWidth="1"/>
    <col min="12" max="12" width="28.85546875" customWidth="1"/>
  </cols>
  <sheetData>
    <row r="1" spans="2:12" ht="23.25" x14ac:dyDescent="0.35">
      <c r="B1" s="96"/>
      <c r="C1" s="96"/>
      <c r="D1" s="96"/>
      <c r="E1" s="96"/>
      <c r="F1" s="96"/>
      <c r="G1" s="96"/>
      <c r="H1" s="96"/>
      <c r="I1" s="96"/>
      <c r="J1" s="96"/>
      <c r="K1" s="96"/>
      <c r="L1" s="96"/>
    </row>
    <row r="2" spans="2:12" ht="23.25" x14ac:dyDescent="0.35">
      <c r="B2" s="96"/>
      <c r="C2" s="96"/>
      <c r="D2" s="96"/>
      <c r="E2" s="96"/>
      <c r="F2" s="96"/>
      <c r="G2" s="96"/>
      <c r="H2" s="96"/>
      <c r="I2" s="96"/>
      <c r="J2" s="96"/>
      <c r="K2" s="96"/>
      <c r="L2" s="96"/>
    </row>
    <row r="3" spans="2:12" ht="23.25" x14ac:dyDescent="0.35">
      <c r="B3" s="96"/>
      <c r="C3" s="96"/>
      <c r="D3" s="96"/>
      <c r="E3" s="96"/>
      <c r="F3" s="96"/>
      <c r="G3" s="96"/>
      <c r="H3" s="96"/>
      <c r="I3" s="96"/>
      <c r="J3" s="96"/>
      <c r="K3" s="96"/>
      <c r="L3" s="96"/>
    </row>
    <row r="4" spans="2:12" ht="23.25" x14ac:dyDescent="0.35">
      <c r="B4" s="96"/>
      <c r="C4" s="96"/>
      <c r="D4" s="96"/>
      <c r="E4" s="96"/>
      <c r="F4" s="96"/>
      <c r="G4" s="96"/>
      <c r="H4" s="96"/>
      <c r="I4" s="96"/>
      <c r="J4" s="96"/>
      <c r="K4" s="96"/>
      <c r="L4" s="96"/>
    </row>
    <row r="5" spans="2:12" ht="23.25" x14ac:dyDescent="0.35">
      <c r="B5" s="96"/>
      <c r="C5" s="96"/>
      <c r="D5" s="96"/>
      <c r="E5" s="96"/>
      <c r="F5" s="96"/>
      <c r="G5" s="96"/>
      <c r="H5" s="96"/>
      <c r="I5" s="96"/>
      <c r="J5" s="96"/>
      <c r="K5" s="96"/>
      <c r="L5" s="96"/>
    </row>
    <row r="6" spans="2:12" ht="38.25" customHeight="1" x14ac:dyDescent="0.35">
      <c r="B6" s="96"/>
      <c r="C6" s="96"/>
      <c r="D6" s="96"/>
      <c r="E6" s="96"/>
      <c r="F6" s="96"/>
      <c r="G6" s="96"/>
      <c r="H6" s="96"/>
      <c r="I6" s="96"/>
      <c r="J6" s="96"/>
      <c r="K6" s="96"/>
      <c r="L6" s="96"/>
    </row>
    <row r="7" spans="2:12" ht="23.25" x14ac:dyDescent="0.35">
      <c r="B7" s="374" t="s">
        <v>284</v>
      </c>
      <c r="C7" s="374"/>
      <c r="D7" s="374"/>
      <c r="E7" s="374"/>
      <c r="F7" s="374"/>
      <c r="G7" s="374"/>
      <c r="H7" s="374"/>
      <c r="I7" s="374"/>
      <c r="J7" s="374"/>
      <c r="K7" s="374"/>
      <c r="L7" s="374"/>
    </row>
    <row r="8" spans="2:12" ht="23.25" x14ac:dyDescent="0.35">
      <c r="B8" s="101"/>
      <c r="C8" s="101"/>
      <c r="D8" s="101"/>
      <c r="E8" s="101"/>
      <c r="F8" s="101"/>
      <c r="G8" s="101"/>
      <c r="H8" s="101"/>
      <c r="I8" s="101"/>
      <c r="J8" s="101"/>
      <c r="K8" s="101"/>
      <c r="L8" s="101"/>
    </row>
    <row r="9" spans="2:12" ht="45.75" customHeight="1" x14ac:dyDescent="0.25">
      <c r="B9" s="371" t="s">
        <v>291</v>
      </c>
      <c r="C9" s="372"/>
      <c r="D9" s="372"/>
      <c r="E9" s="372"/>
      <c r="F9" s="372"/>
      <c r="G9" s="372"/>
      <c r="H9" s="372"/>
      <c r="I9" s="372"/>
      <c r="J9" s="372"/>
      <c r="K9" s="372"/>
      <c r="L9" s="373"/>
    </row>
    <row r="10" spans="2:12" ht="39.75" customHeight="1" x14ac:dyDescent="0.35">
      <c r="B10" s="316" t="s">
        <v>188</v>
      </c>
      <c r="C10" s="316" t="s">
        <v>189</v>
      </c>
      <c r="D10" s="365" t="s">
        <v>289</v>
      </c>
      <c r="E10" s="366"/>
      <c r="F10" s="382" t="s">
        <v>290</v>
      </c>
      <c r="G10" s="318" t="s">
        <v>192</v>
      </c>
      <c r="H10" s="369" t="s">
        <v>197</v>
      </c>
      <c r="I10" s="369"/>
      <c r="J10" s="369"/>
      <c r="K10" s="369"/>
      <c r="L10" s="236"/>
    </row>
    <row r="11" spans="2:12" ht="44.25" customHeight="1" x14ac:dyDescent="0.35">
      <c r="B11" s="316"/>
      <c r="C11" s="316"/>
      <c r="D11" s="367"/>
      <c r="E11" s="368"/>
      <c r="F11" s="379"/>
      <c r="G11" s="319"/>
      <c r="H11" s="251" t="s">
        <v>193</v>
      </c>
      <c r="I11" s="251" t="s">
        <v>194</v>
      </c>
      <c r="J11" s="251" t="s">
        <v>195</v>
      </c>
      <c r="K11" s="251" t="s">
        <v>196</v>
      </c>
      <c r="L11" s="251" t="s">
        <v>139</v>
      </c>
    </row>
    <row r="12" spans="2:12" ht="63" customHeight="1" x14ac:dyDescent="0.25">
      <c r="B12" s="228">
        <v>1</v>
      </c>
      <c r="C12" s="256" t="s">
        <v>287</v>
      </c>
      <c r="D12" s="362">
        <v>3</v>
      </c>
      <c r="E12" s="363"/>
      <c r="F12" s="231">
        <v>1473.3679999999999</v>
      </c>
      <c r="G12" s="232">
        <f>F12*D12</f>
        <v>4420.1039999999994</v>
      </c>
      <c r="H12" s="231">
        <f>F12*1</f>
        <v>1473.3679999999999</v>
      </c>
      <c r="I12" s="231">
        <f>F12*D12</f>
        <v>4420.1039999999994</v>
      </c>
      <c r="J12" s="231">
        <f>F12*D12</f>
        <v>4420.1039999999994</v>
      </c>
      <c r="K12" s="231">
        <f>F12*D12</f>
        <v>4420.1039999999994</v>
      </c>
      <c r="L12" s="233">
        <f>H12+I12+J12+K12</f>
        <v>14733.679999999998</v>
      </c>
    </row>
    <row r="13" spans="2:12" ht="63" customHeight="1" x14ac:dyDescent="0.25">
      <c r="B13" s="228">
        <v>2</v>
      </c>
      <c r="C13" s="256" t="s">
        <v>288</v>
      </c>
      <c r="D13" s="362">
        <v>3</v>
      </c>
      <c r="E13" s="363"/>
      <c r="F13" s="231">
        <v>1473.3679999999999</v>
      </c>
      <c r="G13" s="232">
        <f>F13*D13</f>
        <v>4420.1039999999994</v>
      </c>
      <c r="H13" s="231">
        <v>4838</v>
      </c>
      <c r="I13" s="231">
        <f>F13*D13</f>
        <v>4420.1039999999994</v>
      </c>
      <c r="J13" s="231">
        <f>D13*F13</f>
        <v>4420.1039999999994</v>
      </c>
      <c r="K13" s="231">
        <f>D13*F13</f>
        <v>4420.1039999999994</v>
      </c>
      <c r="L13" s="233">
        <f>H13+I13+J13+K13</f>
        <v>18098.311999999998</v>
      </c>
    </row>
    <row r="14" spans="2:12" ht="45" customHeight="1" x14ac:dyDescent="0.25">
      <c r="B14" s="359" t="s">
        <v>7</v>
      </c>
      <c r="C14" s="360"/>
      <c r="D14" s="360"/>
      <c r="E14" s="360"/>
      <c r="F14" s="360"/>
      <c r="G14" s="370"/>
      <c r="H14" s="253">
        <f>SUM(H12:H13)</f>
        <v>6311.3680000000004</v>
      </c>
      <c r="I14" s="253">
        <f>SUM(I12:I13)</f>
        <v>8840.2079999999987</v>
      </c>
      <c r="J14" s="253">
        <f>SUM(J12:J13)</f>
        <v>8840.2079999999987</v>
      </c>
      <c r="K14" s="253">
        <f>SUM(K12:K13)</f>
        <v>8840.2079999999987</v>
      </c>
      <c r="L14" s="258">
        <f>SUM(L12:L13)</f>
        <v>32831.991999999998</v>
      </c>
    </row>
    <row r="15" spans="2:12" ht="23.25" x14ac:dyDescent="0.35">
      <c r="B15" s="101"/>
      <c r="C15" s="101"/>
      <c r="D15" s="101"/>
      <c r="E15" s="101"/>
      <c r="F15" s="101"/>
      <c r="G15" s="101"/>
      <c r="H15" s="101"/>
      <c r="I15" s="101"/>
      <c r="J15" s="101"/>
      <c r="K15" s="101"/>
      <c r="L15" s="101"/>
    </row>
    <row r="16" spans="2:12" s="88" customFormat="1" ht="23.25" x14ac:dyDescent="0.25">
      <c r="B16" s="98"/>
      <c r="C16" s="98"/>
      <c r="D16" s="98"/>
      <c r="E16" s="98"/>
      <c r="F16" s="234"/>
      <c r="G16" s="235"/>
      <c r="H16" s="98"/>
      <c r="I16" s="98"/>
      <c r="J16" s="98"/>
      <c r="K16" s="98"/>
      <c r="L16" s="98"/>
    </row>
    <row r="17" spans="2:15" s="88" customFormat="1" ht="36" customHeight="1" x14ac:dyDescent="0.25">
      <c r="B17" s="371" t="s">
        <v>202</v>
      </c>
      <c r="C17" s="372"/>
      <c r="D17" s="372"/>
      <c r="E17" s="372"/>
      <c r="F17" s="372"/>
      <c r="G17" s="372"/>
      <c r="H17" s="372"/>
      <c r="I17" s="372"/>
      <c r="J17" s="372"/>
      <c r="K17" s="372"/>
      <c r="L17" s="373"/>
    </row>
    <row r="18" spans="2:15" s="88" customFormat="1" ht="50.25" customHeight="1" x14ac:dyDescent="0.35">
      <c r="B18" s="316" t="s">
        <v>188</v>
      </c>
      <c r="C18" s="316" t="s">
        <v>189</v>
      </c>
      <c r="D18" s="365" t="s">
        <v>190</v>
      </c>
      <c r="E18" s="366"/>
      <c r="F18" s="382" t="s">
        <v>191</v>
      </c>
      <c r="G18" s="318" t="s">
        <v>192</v>
      </c>
      <c r="H18" s="369" t="s">
        <v>197</v>
      </c>
      <c r="I18" s="369"/>
      <c r="J18" s="369"/>
      <c r="K18" s="369"/>
      <c r="L18" s="236"/>
    </row>
    <row r="19" spans="2:15" s="88" customFormat="1" ht="50.25" customHeight="1" x14ac:dyDescent="0.35">
      <c r="B19" s="316"/>
      <c r="C19" s="316"/>
      <c r="D19" s="367"/>
      <c r="E19" s="368"/>
      <c r="F19" s="379"/>
      <c r="G19" s="319"/>
      <c r="H19" s="251" t="s">
        <v>193</v>
      </c>
      <c r="I19" s="251" t="s">
        <v>194</v>
      </c>
      <c r="J19" s="251" t="s">
        <v>195</v>
      </c>
      <c r="K19" s="251" t="s">
        <v>196</v>
      </c>
      <c r="L19" s="251" t="s">
        <v>139</v>
      </c>
    </row>
    <row r="20" spans="2:15" s="88" customFormat="1" ht="50.25" customHeight="1" x14ac:dyDescent="0.25">
      <c r="B20" s="228">
        <v>1</v>
      </c>
      <c r="C20" s="228" t="s">
        <v>203</v>
      </c>
      <c r="D20" s="362">
        <v>1</v>
      </c>
      <c r="E20" s="363"/>
      <c r="F20" s="231">
        <v>25</v>
      </c>
      <c r="G20" s="232">
        <f>F20*D20</f>
        <v>25</v>
      </c>
      <c r="H20" s="231">
        <f>G20</f>
        <v>25</v>
      </c>
      <c r="I20" s="231">
        <f>G20</f>
        <v>25</v>
      </c>
      <c r="J20" s="231">
        <f>H20</f>
        <v>25</v>
      </c>
      <c r="K20" s="231">
        <f>G20</f>
        <v>25</v>
      </c>
      <c r="L20" s="233">
        <f>H20+I20+J20+K20</f>
        <v>100</v>
      </c>
    </row>
    <row r="21" spans="2:15" s="88" customFormat="1" ht="50.25" customHeight="1" x14ac:dyDescent="0.25">
      <c r="B21" s="228">
        <v>2</v>
      </c>
      <c r="C21" s="228" t="s">
        <v>204</v>
      </c>
      <c r="D21" s="362">
        <v>4</v>
      </c>
      <c r="E21" s="363"/>
      <c r="F21" s="231">
        <v>2.5</v>
      </c>
      <c r="G21" s="232">
        <f>F21*D21</f>
        <v>10</v>
      </c>
      <c r="H21" s="231">
        <f>G21</f>
        <v>10</v>
      </c>
      <c r="I21" s="231">
        <f>G21</f>
        <v>10</v>
      </c>
      <c r="J21" s="231">
        <f>G21</f>
        <v>10</v>
      </c>
      <c r="K21" s="231">
        <f>G21</f>
        <v>10</v>
      </c>
      <c r="L21" s="233">
        <f>H21+I21+J21+K21</f>
        <v>40</v>
      </c>
    </row>
    <row r="22" spans="2:15" s="88" customFormat="1" ht="50.25" customHeight="1" x14ac:dyDescent="0.25">
      <c r="B22" s="228">
        <v>3</v>
      </c>
      <c r="C22" s="228" t="s">
        <v>206</v>
      </c>
      <c r="D22" s="362">
        <v>5</v>
      </c>
      <c r="E22" s="363"/>
      <c r="F22" s="231">
        <v>1</v>
      </c>
      <c r="G22" s="232">
        <f>F22*D22</f>
        <v>5</v>
      </c>
      <c r="H22" s="231">
        <f>G22</f>
        <v>5</v>
      </c>
      <c r="I22" s="231">
        <f>G22</f>
        <v>5</v>
      </c>
      <c r="J22" s="231">
        <f>G22</f>
        <v>5</v>
      </c>
      <c r="K22" s="231">
        <f>G22</f>
        <v>5</v>
      </c>
      <c r="L22" s="233">
        <f>H22+I22+J22+K22</f>
        <v>20</v>
      </c>
    </row>
    <row r="23" spans="2:15" s="88" customFormat="1" ht="50.25" customHeight="1" x14ac:dyDescent="0.25">
      <c r="B23" s="228">
        <v>4</v>
      </c>
      <c r="C23" s="228" t="s">
        <v>205</v>
      </c>
      <c r="D23" s="362">
        <v>1</v>
      </c>
      <c r="E23" s="363"/>
      <c r="F23" s="231">
        <v>80</v>
      </c>
      <c r="G23" s="232">
        <f>F23*D23</f>
        <v>80</v>
      </c>
      <c r="H23" s="231">
        <f>G23</f>
        <v>80</v>
      </c>
      <c r="I23" s="231">
        <f>G23</f>
        <v>80</v>
      </c>
      <c r="J23" s="231">
        <f>G23</f>
        <v>80</v>
      </c>
      <c r="K23" s="231">
        <f>G23</f>
        <v>80</v>
      </c>
      <c r="L23" s="233">
        <f>H23+I23+J23+K23</f>
        <v>320</v>
      </c>
    </row>
    <row r="24" spans="2:15" s="88" customFormat="1" ht="50.25" customHeight="1" x14ac:dyDescent="0.25">
      <c r="B24" s="359" t="s">
        <v>7</v>
      </c>
      <c r="C24" s="360"/>
      <c r="D24" s="360"/>
      <c r="E24" s="360"/>
      <c r="F24" s="360"/>
      <c r="G24" s="360"/>
      <c r="H24" s="253">
        <f>SUM(H20:H23)</f>
        <v>120</v>
      </c>
      <c r="I24" s="253">
        <f t="shared" ref="I24:K24" si="0">SUM(I20:I23)</f>
        <v>120</v>
      </c>
      <c r="J24" s="253">
        <f t="shared" si="0"/>
        <v>120</v>
      </c>
      <c r="K24" s="253">
        <f t="shared" si="0"/>
        <v>120</v>
      </c>
      <c r="L24" s="250">
        <f>SUM(L20:L23)</f>
        <v>480</v>
      </c>
    </row>
    <row r="25" spans="2:15" s="88" customFormat="1" ht="23.25" x14ac:dyDescent="0.25">
      <c r="B25" s="98"/>
      <c r="C25" s="98"/>
      <c r="D25" s="98"/>
      <c r="E25" s="98"/>
      <c r="F25" s="237"/>
      <c r="G25" s="235"/>
      <c r="H25" s="98"/>
      <c r="I25" s="98"/>
      <c r="J25" s="98"/>
      <c r="K25" s="98"/>
      <c r="L25" s="98"/>
    </row>
    <row r="26" spans="2:15" s="88" customFormat="1" ht="34.5" customHeight="1" x14ac:dyDescent="0.25">
      <c r="B26" s="371" t="s">
        <v>207</v>
      </c>
      <c r="C26" s="372"/>
      <c r="D26" s="372"/>
      <c r="E26" s="372"/>
      <c r="F26" s="372"/>
      <c r="G26" s="372"/>
      <c r="H26" s="372"/>
      <c r="I26" s="372"/>
      <c r="J26" s="372"/>
      <c r="K26" s="372"/>
      <c r="L26" s="373"/>
    </row>
    <row r="27" spans="2:15" s="88" customFormat="1" ht="51" customHeight="1" x14ac:dyDescent="0.35">
      <c r="B27" s="316" t="s">
        <v>188</v>
      </c>
      <c r="C27" s="316" t="s">
        <v>189</v>
      </c>
      <c r="D27" s="365" t="s">
        <v>190</v>
      </c>
      <c r="E27" s="366"/>
      <c r="F27" s="382" t="s">
        <v>191</v>
      </c>
      <c r="G27" s="318" t="s">
        <v>192</v>
      </c>
      <c r="H27" s="369" t="s">
        <v>197</v>
      </c>
      <c r="I27" s="369"/>
      <c r="J27" s="369"/>
      <c r="K27" s="369"/>
      <c r="L27" s="236"/>
    </row>
    <row r="28" spans="2:15" s="88" customFormat="1" ht="51" customHeight="1" x14ac:dyDescent="0.35">
      <c r="B28" s="316"/>
      <c r="C28" s="316"/>
      <c r="D28" s="367"/>
      <c r="E28" s="368"/>
      <c r="F28" s="379"/>
      <c r="G28" s="319"/>
      <c r="H28" s="251" t="s">
        <v>193</v>
      </c>
      <c r="I28" s="251" t="s">
        <v>194</v>
      </c>
      <c r="J28" s="251" t="s">
        <v>195</v>
      </c>
      <c r="K28" s="251" t="s">
        <v>196</v>
      </c>
      <c r="L28" s="251" t="s">
        <v>139</v>
      </c>
    </row>
    <row r="29" spans="2:15" s="88" customFormat="1" ht="51" customHeight="1" x14ac:dyDescent="0.25">
      <c r="B29" s="228">
        <v>1</v>
      </c>
      <c r="C29" s="228" t="s">
        <v>208</v>
      </c>
      <c r="D29" s="362">
        <v>1</v>
      </c>
      <c r="E29" s="363"/>
      <c r="F29" s="231">
        <v>159</v>
      </c>
      <c r="G29" s="232">
        <f>F29*D29</f>
        <v>159</v>
      </c>
      <c r="H29" s="231">
        <f>G29</f>
        <v>159</v>
      </c>
      <c r="I29" s="231">
        <f>G29</f>
        <v>159</v>
      </c>
      <c r="J29" s="231">
        <f>H29</f>
        <v>159</v>
      </c>
      <c r="K29" s="231">
        <f>G29</f>
        <v>159</v>
      </c>
      <c r="L29" s="233">
        <f>H29+I29+J29+K29</f>
        <v>636</v>
      </c>
    </row>
    <row r="30" spans="2:15" s="88" customFormat="1" ht="51" customHeight="1" x14ac:dyDescent="0.25">
      <c r="B30" s="228">
        <v>2</v>
      </c>
      <c r="C30" s="228" t="s">
        <v>283</v>
      </c>
      <c r="D30" s="362">
        <v>1</v>
      </c>
      <c r="E30" s="363"/>
      <c r="F30" s="231">
        <v>90.5</v>
      </c>
      <c r="G30" s="232">
        <f>F30*D30</f>
        <v>90.5</v>
      </c>
      <c r="H30" s="231">
        <f>G30</f>
        <v>90.5</v>
      </c>
      <c r="I30" s="231">
        <f>G30</f>
        <v>90.5</v>
      </c>
      <c r="J30" s="231">
        <f>G30</f>
        <v>90.5</v>
      </c>
      <c r="K30" s="231">
        <f>G30</f>
        <v>90.5</v>
      </c>
      <c r="L30" s="233">
        <f>H30+I30+J30+K30</f>
        <v>362</v>
      </c>
    </row>
    <row r="31" spans="2:15" s="88" customFormat="1" ht="51" customHeight="1" x14ac:dyDescent="0.25">
      <c r="B31" s="228">
        <v>3</v>
      </c>
      <c r="C31" s="228" t="s">
        <v>210</v>
      </c>
      <c r="D31" s="362">
        <v>5</v>
      </c>
      <c r="E31" s="363"/>
      <c r="F31" s="231">
        <v>30</v>
      </c>
      <c r="G31" s="232">
        <f>F31*D31</f>
        <v>150</v>
      </c>
      <c r="H31" s="231">
        <f>G31</f>
        <v>150</v>
      </c>
      <c r="I31" s="231">
        <f>G31</f>
        <v>150</v>
      </c>
      <c r="J31" s="231">
        <f>G31</f>
        <v>150</v>
      </c>
      <c r="K31" s="231">
        <f>G31</f>
        <v>150</v>
      </c>
      <c r="L31" s="233">
        <f>H31+I31+J31+K31</f>
        <v>600</v>
      </c>
    </row>
    <row r="32" spans="2:15" s="88" customFormat="1" ht="51" customHeight="1" x14ac:dyDescent="0.25">
      <c r="B32" s="359" t="s">
        <v>7</v>
      </c>
      <c r="C32" s="360"/>
      <c r="D32" s="360"/>
      <c r="E32" s="360"/>
      <c r="F32" s="360"/>
      <c r="G32" s="360"/>
      <c r="H32" s="253">
        <f>SUM(H29:H31)</f>
        <v>399.5</v>
      </c>
      <c r="I32" s="253">
        <f t="shared" ref="I32:K32" si="1">SUM(I29:I31)</f>
        <v>399.5</v>
      </c>
      <c r="J32" s="253">
        <f t="shared" si="1"/>
        <v>399.5</v>
      </c>
      <c r="K32" s="253">
        <f t="shared" si="1"/>
        <v>399.5</v>
      </c>
      <c r="L32" s="250">
        <f t="shared" ref="L32" si="2">SUM(L29:L31)</f>
        <v>1598</v>
      </c>
      <c r="O32" s="247"/>
    </row>
    <row r="33" spans="2:15" s="88" customFormat="1" ht="23.25" x14ac:dyDescent="0.25">
      <c r="B33" s="98"/>
      <c r="C33" s="98"/>
      <c r="D33" s="98"/>
      <c r="E33" s="98"/>
      <c r="F33" s="237"/>
      <c r="G33" s="235"/>
      <c r="H33" s="98"/>
      <c r="I33" s="98"/>
      <c r="J33" s="98"/>
      <c r="K33" s="98"/>
      <c r="L33" s="98"/>
      <c r="O33" s="247"/>
    </row>
    <row r="34" spans="2:15" s="88" customFormat="1" ht="59.25" customHeight="1" x14ac:dyDescent="0.25">
      <c r="B34" s="371" t="s">
        <v>211</v>
      </c>
      <c r="C34" s="372"/>
      <c r="D34" s="372"/>
      <c r="E34" s="372"/>
      <c r="F34" s="372"/>
      <c r="G34" s="372"/>
      <c r="H34" s="372"/>
      <c r="I34" s="372"/>
      <c r="J34" s="372"/>
      <c r="K34" s="372"/>
      <c r="L34" s="373"/>
      <c r="O34" s="247"/>
    </row>
    <row r="35" spans="2:15" s="88" customFormat="1" ht="59.25" customHeight="1" x14ac:dyDescent="0.35">
      <c r="B35" s="316" t="s">
        <v>188</v>
      </c>
      <c r="C35" s="316" t="s">
        <v>189</v>
      </c>
      <c r="D35" s="365" t="s">
        <v>190</v>
      </c>
      <c r="E35" s="366"/>
      <c r="F35" s="382" t="s">
        <v>191</v>
      </c>
      <c r="G35" s="318" t="s">
        <v>192</v>
      </c>
      <c r="H35" s="369" t="s">
        <v>197</v>
      </c>
      <c r="I35" s="369"/>
      <c r="J35" s="369"/>
      <c r="K35" s="369"/>
      <c r="L35" s="236"/>
      <c r="O35" s="247"/>
    </row>
    <row r="36" spans="2:15" s="88" customFormat="1" ht="59.25" customHeight="1" x14ac:dyDescent="0.35">
      <c r="B36" s="316"/>
      <c r="C36" s="316"/>
      <c r="D36" s="367"/>
      <c r="E36" s="368"/>
      <c r="F36" s="379"/>
      <c r="G36" s="319"/>
      <c r="H36" s="251" t="s">
        <v>193</v>
      </c>
      <c r="I36" s="251" t="s">
        <v>194</v>
      </c>
      <c r="J36" s="251" t="s">
        <v>195</v>
      </c>
      <c r="K36" s="251" t="s">
        <v>196</v>
      </c>
      <c r="L36" s="251" t="s">
        <v>139</v>
      </c>
      <c r="O36" s="247"/>
    </row>
    <row r="37" spans="2:15" s="88" customFormat="1" ht="59.25" customHeight="1" x14ac:dyDescent="0.25">
      <c r="B37" s="228">
        <v>1</v>
      </c>
      <c r="C37" s="228" t="s">
        <v>212</v>
      </c>
      <c r="D37" s="362">
        <v>4</v>
      </c>
      <c r="E37" s="363"/>
      <c r="F37" s="231">
        <v>15</v>
      </c>
      <c r="G37" s="232">
        <f>F37*D37</f>
        <v>60</v>
      </c>
      <c r="H37" s="231">
        <f>G37</f>
        <v>60</v>
      </c>
      <c r="I37" s="231">
        <f>G37</f>
        <v>60</v>
      </c>
      <c r="J37" s="231">
        <f>H37</f>
        <v>60</v>
      </c>
      <c r="K37" s="231">
        <f>G37</f>
        <v>60</v>
      </c>
      <c r="L37" s="233">
        <f>H37+I37+J37+K37</f>
        <v>240</v>
      </c>
      <c r="O37" s="247"/>
    </row>
    <row r="38" spans="2:15" s="88" customFormat="1" ht="59.25" customHeight="1" x14ac:dyDescent="0.25">
      <c r="B38" s="359" t="s">
        <v>7</v>
      </c>
      <c r="C38" s="360"/>
      <c r="D38" s="360"/>
      <c r="E38" s="360"/>
      <c r="F38" s="360"/>
      <c r="G38" s="370"/>
      <c r="H38" s="253">
        <f>SUM(H37)</f>
        <v>60</v>
      </c>
      <c r="I38" s="253">
        <f t="shared" ref="I38:K38" si="3">SUM(I37)</f>
        <v>60</v>
      </c>
      <c r="J38" s="253">
        <f t="shared" si="3"/>
        <v>60</v>
      </c>
      <c r="K38" s="253">
        <f t="shared" si="3"/>
        <v>60</v>
      </c>
      <c r="L38" s="250">
        <f t="shared" ref="L38" si="4">SUM(L37:L37)</f>
        <v>240</v>
      </c>
      <c r="O38" s="247"/>
    </row>
    <row r="39" spans="2:15" s="88" customFormat="1" ht="23.25" x14ac:dyDescent="0.25">
      <c r="B39" s="98"/>
      <c r="C39" s="98"/>
      <c r="D39" s="98"/>
      <c r="E39" s="98"/>
      <c r="F39" s="237"/>
      <c r="G39" s="235"/>
      <c r="H39" s="98"/>
      <c r="I39" s="98"/>
      <c r="J39" s="98"/>
      <c r="K39" s="98"/>
      <c r="L39" s="98"/>
      <c r="O39" s="247"/>
    </row>
    <row r="40" spans="2:15" ht="36.75" customHeight="1" x14ac:dyDescent="0.35">
      <c r="B40" s="96"/>
      <c r="C40" s="96"/>
      <c r="D40" s="96"/>
      <c r="E40" s="96"/>
      <c r="F40" s="96"/>
      <c r="G40" s="96"/>
      <c r="H40" s="96"/>
      <c r="I40" s="96"/>
      <c r="J40" s="96"/>
      <c r="K40" s="96"/>
      <c r="L40" s="96"/>
    </row>
    <row r="41" spans="2:15" ht="54" customHeight="1" x14ac:dyDescent="0.25">
      <c r="B41" s="362" t="s">
        <v>266</v>
      </c>
      <c r="C41" s="364"/>
      <c r="D41" s="364"/>
      <c r="E41" s="364"/>
      <c r="F41" s="364"/>
      <c r="G41" s="364"/>
      <c r="H41" s="364"/>
      <c r="I41" s="364"/>
      <c r="J41" s="364"/>
      <c r="K41" s="364"/>
      <c r="L41" s="363"/>
    </row>
    <row r="42" spans="2:15" ht="54" customHeight="1" x14ac:dyDescent="0.35">
      <c r="B42" s="316" t="s">
        <v>188</v>
      </c>
      <c r="C42" s="316" t="s">
        <v>189</v>
      </c>
      <c r="D42" s="365" t="s">
        <v>190</v>
      </c>
      <c r="E42" s="366"/>
      <c r="F42" s="382" t="s">
        <v>191</v>
      </c>
      <c r="G42" s="318" t="s">
        <v>192</v>
      </c>
      <c r="H42" s="369" t="s">
        <v>197</v>
      </c>
      <c r="I42" s="369"/>
      <c r="J42" s="369"/>
      <c r="K42" s="369"/>
      <c r="L42" s="236"/>
    </row>
    <row r="43" spans="2:15" ht="54" customHeight="1" x14ac:dyDescent="0.35">
      <c r="B43" s="316"/>
      <c r="C43" s="316"/>
      <c r="D43" s="367"/>
      <c r="E43" s="368"/>
      <c r="F43" s="379"/>
      <c r="G43" s="319"/>
      <c r="H43" s="251" t="s">
        <v>193</v>
      </c>
      <c r="I43" s="251" t="s">
        <v>194</v>
      </c>
      <c r="J43" s="251" t="s">
        <v>195</v>
      </c>
      <c r="K43" s="251" t="s">
        <v>196</v>
      </c>
      <c r="L43" s="251" t="s">
        <v>139</v>
      </c>
    </row>
    <row r="44" spans="2:15" ht="54" customHeight="1" x14ac:dyDescent="0.25">
      <c r="B44" s="228">
        <v>1</v>
      </c>
      <c r="C44" s="228" t="s">
        <v>69</v>
      </c>
      <c r="D44" s="362">
        <v>1</v>
      </c>
      <c r="E44" s="363"/>
      <c r="F44" s="231">
        <v>200</v>
      </c>
      <c r="G44" s="232">
        <f>F44*D44</f>
        <v>200</v>
      </c>
      <c r="H44" s="231">
        <f>G44</f>
        <v>200</v>
      </c>
      <c r="I44" s="231">
        <f>G44</f>
        <v>200</v>
      </c>
      <c r="J44" s="231">
        <f>H44</f>
        <v>200</v>
      </c>
      <c r="K44" s="231">
        <f>G44</f>
        <v>200</v>
      </c>
      <c r="L44" s="233">
        <f>H44+I44+J44+K44</f>
        <v>800</v>
      </c>
    </row>
    <row r="45" spans="2:15" ht="54" customHeight="1" x14ac:dyDescent="0.25">
      <c r="B45" s="228">
        <v>2</v>
      </c>
      <c r="C45" s="228" t="s">
        <v>265</v>
      </c>
      <c r="D45" s="362">
        <v>3</v>
      </c>
      <c r="E45" s="363"/>
      <c r="F45" s="231">
        <v>100</v>
      </c>
      <c r="G45" s="232">
        <f>F45*D45</f>
        <v>300</v>
      </c>
      <c r="H45" s="231">
        <f>G45</f>
        <v>300</v>
      </c>
      <c r="I45" s="231">
        <f>G45</f>
        <v>300</v>
      </c>
      <c r="J45" s="231">
        <f>G45</f>
        <v>300</v>
      </c>
      <c r="K45" s="231">
        <f>G45</f>
        <v>300</v>
      </c>
      <c r="L45" s="233">
        <f>H45+I45+J45+K45</f>
        <v>1200</v>
      </c>
    </row>
    <row r="46" spans="2:15" ht="54" customHeight="1" x14ac:dyDescent="0.25">
      <c r="B46" s="359" t="s">
        <v>7</v>
      </c>
      <c r="C46" s="360"/>
      <c r="D46" s="360"/>
      <c r="E46" s="360"/>
      <c r="F46" s="360"/>
      <c r="G46" s="370"/>
      <c r="H46" s="253">
        <f>SUM(H44:H45)</f>
        <v>500</v>
      </c>
      <c r="I46" s="253">
        <f t="shared" ref="I46:K46" si="5">SUM(I44:I45)</f>
        <v>500</v>
      </c>
      <c r="J46" s="253">
        <f t="shared" si="5"/>
        <v>500</v>
      </c>
      <c r="K46" s="253">
        <f t="shared" si="5"/>
        <v>500</v>
      </c>
      <c r="L46" s="250">
        <f>SUM(L44:L45)</f>
        <v>2000</v>
      </c>
    </row>
    <row r="47" spans="2:15" ht="23.25" x14ac:dyDescent="0.35">
      <c r="B47" s="96"/>
      <c r="C47" s="96"/>
      <c r="D47" s="96"/>
      <c r="E47" s="96"/>
      <c r="F47" s="96"/>
      <c r="G47" s="96"/>
      <c r="H47" s="96"/>
      <c r="I47" s="96"/>
      <c r="J47" s="96"/>
      <c r="K47" s="96"/>
      <c r="L47" s="96"/>
    </row>
    <row r="48" spans="2:15" ht="53.25" customHeight="1" x14ac:dyDescent="0.35">
      <c r="B48" s="96"/>
      <c r="C48" s="96"/>
      <c r="D48" s="96"/>
      <c r="E48" s="96"/>
      <c r="F48" s="96"/>
      <c r="G48" s="96"/>
      <c r="H48" s="96"/>
      <c r="I48" s="96"/>
      <c r="J48" s="96"/>
      <c r="K48" s="96"/>
      <c r="L48" s="96"/>
    </row>
    <row r="49" spans="2:12" ht="23.25" x14ac:dyDescent="0.35">
      <c r="B49" s="96"/>
      <c r="C49" s="100"/>
      <c r="D49" s="96"/>
      <c r="E49" s="96"/>
      <c r="F49" s="96"/>
      <c r="G49" s="96"/>
      <c r="H49" s="96"/>
      <c r="I49" s="361" t="s">
        <v>274</v>
      </c>
      <c r="J49" s="361"/>
      <c r="K49" s="96"/>
      <c r="L49" s="96"/>
    </row>
    <row r="50" spans="2:12" ht="23.25" x14ac:dyDescent="0.35">
      <c r="B50" s="96"/>
      <c r="C50" s="100" t="s">
        <v>272</v>
      </c>
      <c r="D50" s="96"/>
      <c r="E50" s="96"/>
      <c r="F50" s="96"/>
      <c r="G50" s="96"/>
      <c r="H50" s="96"/>
      <c r="I50" s="361" t="s">
        <v>285</v>
      </c>
      <c r="J50" s="361"/>
      <c r="K50" s="96"/>
      <c r="L50" s="96"/>
    </row>
    <row r="51" spans="2:12" ht="38.25" customHeight="1" x14ac:dyDescent="0.35">
      <c r="B51" s="96"/>
      <c r="C51" s="100"/>
      <c r="D51" s="96"/>
      <c r="E51" s="96"/>
      <c r="F51" s="96"/>
      <c r="G51" s="96"/>
      <c r="H51" s="96"/>
      <c r="I51" s="96"/>
      <c r="J51" s="96"/>
      <c r="K51" s="96"/>
      <c r="L51" s="246"/>
    </row>
    <row r="52" spans="2:12" ht="23.25" x14ac:dyDescent="0.35">
      <c r="B52" s="96"/>
      <c r="C52" s="254" t="s">
        <v>273</v>
      </c>
      <c r="D52" s="96"/>
      <c r="E52" s="96"/>
      <c r="F52" s="96"/>
      <c r="G52" s="96"/>
      <c r="H52" s="96"/>
      <c r="I52" s="383" t="s">
        <v>276</v>
      </c>
      <c r="J52" s="383"/>
      <c r="K52" s="96"/>
      <c r="L52" s="96"/>
    </row>
    <row r="53" spans="2:12" ht="23.25" x14ac:dyDescent="0.35">
      <c r="B53" s="96"/>
      <c r="C53" s="100" t="s">
        <v>111</v>
      </c>
      <c r="D53" s="96"/>
      <c r="E53" s="96"/>
      <c r="F53" s="96"/>
      <c r="G53" s="96"/>
      <c r="H53" s="96"/>
      <c r="I53" s="361" t="s">
        <v>69</v>
      </c>
      <c r="J53" s="361"/>
      <c r="K53" s="96"/>
      <c r="L53" s="96"/>
    </row>
  </sheetData>
  <mergeCells count="57">
    <mergeCell ref="B38:G38"/>
    <mergeCell ref="B32:G32"/>
    <mergeCell ref="B24:G24"/>
    <mergeCell ref="B9:L9"/>
    <mergeCell ref="B10:B11"/>
    <mergeCell ref="C10:C11"/>
    <mergeCell ref="D10:E11"/>
    <mergeCell ref="F10:F11"/>
    <mergeCell ref="G10:G11"/>
    <mergeCell ref="H35:K35"/>
    <mergeCell ref="D37:E37"/>
    <mergeCell ref="D29:E29"/>
    <mergeCell ref="D30:E30"/>
    <mergeCell ref="D31:E31"/>
    <mergeCell ref="B34:L34"/>
    <mergeCell ref="B35:B36"/>
    <mergeCell ref="I49:J49"/>
    <mergeCell ref="I50:J50"/>
    <mergeCell ref="I52:J52"/>
    <mergeCell ref="I53:J53"/>
    <mergeCell ref="D44:E44"/>
    <mergeCell ref="D45:E45"/>
    <mergeCell ref="B46:G46"/>
    <mergeCell ref="B41:L41"/>
    <mergeCell ref="B42:B43"/>
    <mergeCell ref="C42:C43"/>
    <mergeCell ref="D42:E43"/>
    <mergeCell ref="F42:F43"/>
    <mergeCell ref="G42:G43"/>
    <mergeCell ref="H42:K42"/>
    <mergeCell ref="C35:C36"/>
    <mergeCell ref="D35:E36"/>
    <mergeCell ref="B27:B28"/>
    <mergeCell ref="C27:C28"/>
    <mergeCell ref="D27:E28"/>
    <mergeCell ref="H27:K27"/>
    <mergeCell ref="D20:E20"/>
    <mergeCell ref="D21:E21"/>
    <mergeCell ref="D22:E22"/>
    <mergeCell ref="D23:E23"/>
    <mergeCell ref="B26:L26"/>
    <mergeCell ref="B7:L7"/>
    <mergeCell ref="G35:G36"/>
    <mergeCell ref="G27:G28"/>
    <mergeCell ref="G18:G19"/>
    <mergeCell ref="F35:F36"/>
    <mergeCell ref="F27:F28"/>
    <mergeCell ref="F18:F19"/>
    <mergeCell ref="H18:K18"/>
    <mergeCell ref="D12:E12"/>
    <mergeCell ref="D13:E13"/>
    <mergeCell ref="B17:L17"/>
    <mergeCell ref="H10:K10"/>
    <mergeCell ref="B14:G14"/>
    <mergeCell ref="B18:B19"/>
    <mergeCell ref="C18:C19"/>
    <mergeCell ref="D18:E19"/>
  </mergeCells>
  <pageMargins left="0.35" right="0.35" top="0.2" bottom="0.2" header="0.3" footer="0.3"/>
  <pageSetup paperSize="8" scale="50"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768133-859C-44EA-9724-69873D83719F}">
  <dimension ref="B4:K30"/>
  <sheetViews>
    <sheetView topLeftCell="A7" workbookViewId="0">
      <selection activeCell="F27" sqref="F27"/>
    </sheetView>
  </sheetViews>
  <sheetFormatPr defaultRowHeight="15" x14ac:dyDescent="0.25"/>
  <cols>
    <col min="3" max="3" width="82.42578125" customWidth="1"/>
    <col min="5" max="5" width="15.85546875" customWidth="1"/>
    <col min="6" max="6" width="27.28515625" customWidth="1"/>
    <col min="7" max="11" width="19" bestFit="1" customWidth="1"/>
  </cols>
  <sheetData>
    <row r="4" spans="2:11" ht="23.25" x14ac:dyDescent="0.35">
      <c r="B4" s="96"/>
      <c r="C4" s="96"/>
      <c r="D4" s="96"/>
      <c r="E4" s="96"/>
      <c r="F4" s="96"/>
      <c r="G4" s="96"/>
      <c r="H4" s="96"/>
      <c r="I4" s="96"/>
      <c r="J4" s="96"/>
      <c r="K4" s="96"/>
    </row>
    <row r="5" spans="2:11" ht="23.25" x14ac:dyDescent="0.35">
      <c r="B5" s="96"/>
      <c r="C5" s="96"/>
      <c r="D5" s="96"/>
      <c r="E5" s="96"/>
      <c r="F5" s="96"/>
      <c r="G5" s="96"/>
      <c r="H5" s="96"/>
      <c r="I5" s="96"/>
      <c r="J5" s="96"/>
      <c r="K5" s="96"/>
    </row>
    <row r="6" spans="2:11" ht="23.25" x14ac:dyDescent="0.35">
      <c r="B6" s="96"/>
      <c r="C6" s="96"/>
      <c r="D6" s="96"/>
      <c r="E6" s="96"/>
      <c r="F6" s="96"/>
      <c r="G6" s="96"/>
      <c r="H6" s="96"/>
      <c r="I6" s="96"/>
      <c r="J6" s="96"/>
      <c r="K6" s="96"/>
    </row>
    <row r="7" spans="2:11" ht="23.25" x14ac:dyDescent="0.35">
      <c r="B7" s="96"/>
      <c r="C7" s="96"/>
      <c r="D7" s="96"/>
      <c r="E7" s="96"/>
      <c r="F7" s="96"/>
      <c r="G7" s="96"/>
      <c r="H7" s="96"/>
      <c r="I7" s="96"/>
      <c r="J7" s="96"/>
      <c r="K7" s="96"/>
    </row>
    <row r="8" spans="2:11" ht="23.25" x14ac:dyDescent="0.35">
      <c r="B8" s="96"/>
      <c r="C8" s="96"/>
      <c r="D8" s="96"/>
      <c r="E8" s="96"/>
      <c r="F8" s="96"/>
      <c r="G8" s="96"/>
      <c r="H8" s="96"/>
      <c r="I8" s="96"/>
      <c r="J8" s="96"/>
      <c r="K8" s="96"/>
    </row>
    <row r="9" spans="2:11" ht="23.25" x14ac:dyDescent="0.35">
      <c r="B9" s="96"/>
      <c r="C9" s="96"/>
      <c r="D9" s="96"/>
      <c r="E9" s="96"/>
      <c r="F9" s="96"/>
      <c r="G9" s="96"/>
      <c r="H9" s="96"/>
      <c r="I9" s="96"/>
      <c r="J9" s="96"/>
      <c r="K9" s="96"/>
    </row>
    <row r="10" spans="2:11" ht="23.25" x14ac:dyDescent="0.35">
      <c r="B10" s="374" t="s">
        <v>284</v>
      </c>
      <c r="C10" s="374"/>
      <c r="D10" s="374"/>
      <c r="E10" s="374"/>
      <c r="F10" s="374"/>
      <c r="G10" s="374"/>
      <c r="H10" s="374"/>
      <c r="I10" s="374"/>
      <c r="J10" s="374"/>
      <c r="K10" s="374"/>
    </row>
    <row r="12" spans="2:11" ht="23.25" x14ac:dyDescent="0.25">
      <c r="B12" s="371" t="s">
        <v>292</v>
      </c>
      <c r="C12" s="372"/>
      <c r="D12" s="372"/>
      <c r="E12" s="372"/>
      <c r="F12" s="372"/>
      <c r="G12" s="372"/>
      <c r="H12" s="372"/>
      <c r="I12" s="372"/>
      <c r="J12" s="372"/>
      <c r="K12" s="373"/>
    </row>
    <row r="13" spans="2:11" ht="23.25" x14ac:dyDescent="0.35">
      <c r="B13" s="318" t="s">
        <v>188</v>
      </c>
      <c r="C13" s="318" t="s">
        <v>189</v>
      </c>
      <c r="D13" s="365" t="s">
        <v>296</v>
      </c>
      <c r="E13" s="366"/>
      <c r="F13" s="382" t="s">
        <v>294</v>
      </c>
      <c r="G13" s="384" t="s">
        <v>197</v>
      </c>
      <c r="H13" s="385"/>
      <c r="I13" s="385"/>
      <c r="J13" s="386"/>
      <c r="K13" s="236"/>
    </row>
    <row r="14" spans="2:11" ht="23.25" x14ac:dyDescent="0.35">
      <c r="B14" s="319"/>
      <c r="C14" s="319"/>
      <c r="D14" s="367"/>
      <c r="E14" s="368"/>
      <c r="F14" s="379"/>
      <c r="G14" s="251" t="s">
        <v>193</v>
      </c>
      <c r="H14" s="251" t="s">
        <v>194</v>
      </c>
      <c r="I14" s="251" t="s">
        <v>195</v>
      </c>
      <c r="J14" s="251" t="s">
        <v>196</v>
      </c>
      <c r="K14" s="251" t="s">
        <v>139</v>
      </c>
    </row>
    <row r="15" spans="2:11" ht="81.75" customHeight="1" x14ac:dyDescent="0.25">
      <c r="B15" s="228">
        <v>1</v>
      </c>
      <c r="C15" s="117" t="s">
        <v>293</v>
      </c>
      <c r="D15" s="362">
        <v>4</v>
      </c>
      <c r="E15" s="363"/>
      <c r="F15" s="120">
        <f>15312/4</f>
        <v>3828</v>
      </c>
      <c r="G15" s="231">
        <f>F15*1</f>
        <v>3828</v>
      </c>
      <c r="H15" s="231">
        <f t="shared" ref="H15:J15" si="0">G15*1</f>
        <v>3828</v>
      </c>
      <c r="I15" s="231">
        <f t="shared" si="0"/>
        <v>3828</v>
      </c>
      <c r="J15" s="231">
        <f t="shared" si="0"/>
        <v>3828</v>
      </c>
      <c r="K15" s="233">
        <f>G15+H15+I15+J15</f>
        <v>15312</v>
      </c>
    </row>
    <row r="16" spans="2:11" ht="93.75" customHeight="1" x14ac:dyDescent="0.25">
      <c r="B16" s="228">
        <v>2</v>
      </c>
      <c r="C16" s="116" t="s">
        <v>168</v>
      </c>
      <c r="D16" s="362">
        <v>8</v>
      </c>
      <c r="E16" s="363"/>
      <c r="F16" s="120">
        <f>19224/4</f>
        <v>4806</v>
      </c>
      <c r="G16" s="232">
        <f>F16</f>
        <v>4806</v>
      </c>
      <c r="H16" s="232">
        <f>G16</f>
        <v>4806</v>
      </c>
      <c r="I16" s="232">
        <f>H16</f>
        <v>4806</v>
      </c>
      <c r="J16" s="232">
        <f>I16</f>
        <v>4806</v>
      </c>
      <c r="K16" s="233">
        <f>G16+H16+I16+J16</f>
        <v>19224</v>
      </c>
    </row>
    <row r="17" spans="2:11" ht="111.75" customHeight="1" x14ac:dyDescent="0.25">
      <c r="B17" s="228">
        <v>3</v>
      </c>
      <c r="C17" s="116" t="s">
        <v>169</v>
      </c>
      <c r="D17" s="362">
        <v>8</v>
      </c>
      <c r="E17" s="363"/>
      <c r="F17" s="120">
        <v>1293.75</v>
      </c>
      <c r="G17" s="232">
        <f>F17</f>
        <v>1293.75</v>
      </c>
      <c r="H17" s="232">
        <f t="shared" ref="H17:J17" si="1">G17</f>
        <v>1293.75</v>
      </c>
      <c r="I17" s="232">
        <f t="shared" si="1"/>
        <v>1293.75</v>
      </c>
      <c r="J17" s="232">
        <f t="shared" si="1"/>
        <v>1293.75</v>
      </c>
      <c r="K17" s="233">
        <f>G17+H17+I17+J17</f>
        <v>5175</v>
      </c>
    </row>
    <row r="18" spans="2:11" ht="102" x14ac:dyDescent="0.25">
      <c r="B18" s="228">
        <v>4</v>
      </c>
      <c r="C18" s="116" t="s">
        <v>160</v>
      </c>
      <c r="D18" s="362">
        <v>4</v>
      </c>
      <c r="E18" s="363"/>
      <c r="F18" s="120">
        <f>7980/4</f>
        <v>1995</v>
      </c>
      <c r="G18" s="232">
        <f>F18</f>
        <v>1995</v>
      </c>
      <c r="H18" s="232">
        <f t="shared" ref="H18:J18" si="2">G18</f>
        <v>1995</v>
      </c>
      <c r="I18" s="232">
        <f t="shared" si="2"/>
        <v>1995</v>
      </c>
      <c r="J18" s="232">
        <f t="shared" si="2"/>
        <v>1995</v>
      </c>
      <c r="K18" s="233">
        <f t="shared" ref="K18:K19" si="3">G18+H18+I18+J18</f>
        <v>7980</v>
      </c>
    </row>
    <row r="19" spans="2:11" ht="94.5" customHeight="1" x14ac:dyDescent="0.25">
      <c r="B19" s="228">
        <v>5</v>
      </c>
      <c r="C19" s="116" t="s">
        <v>295</v>
      </c>
      <c r="D19" s="362">
        <v>14</v>
      </c>
      <c r="E19" s="363"/>
      <c r="F19" s="120">
        <f>(4116+33096)/4</f>
        <v>9303</v>
      </c>
      <c r="G19" s="232">
        <f>F19</f>
        <v>9303</v>
      </c>
      <c r="H19" s="232">
        <f t="shared" ref="H19:J21" si="4">G19</f>
        <v>9303</v>
      </c>
      <c r="I19" s="232">
        <f t="shared" si="4"/>
        <v>9303</v>
      </c>
      <c r="J19" s="232">
        <f t="shared" si="4"/>
        <v>9303</v>
      </c>
      <c r="K19" s="233">
        <f t="shared" si="3"/>
        <v>37212</v>
      </c>
    </row>
    <row r="20" spans="2:11" ht="90.75" customHeight="1" x14ac:dyDescent="0.25">
      <c r="B20" s="228">
        <v>6</v>
      </c>
      <c r="C20" s="116" t="s">
        <v>161</v>
      </c>
      <c r="D20" s="362">
        <v>8</v>
      </c>
      <c r="E20" s="363"/>
      <c r="F20" s="120">
        <f>8640/4</f>
        <v>2160</v>
      </c>
      <c r="G20" s="232">
        <f>F20</f>
        <v>2160</v>
      </c>
      <c r="H20" s="232">
        <f>G20</f>
        <v>2160</v>
      </c>
      <c r="I20" s="232">
        <f t="shared" si="4"/>
        <v>2160</v>
      </c>
      <c r="J20" s="232">
        <f t="shared" si="4"/>
        <v>2160</v>
      </c>
      <c r="K20" s="233">
        <f t="shared" ref="K20" si="5">G20+H20+I20+J20</f>
        <v>8640</v>
      </c>
    </row>
    <row r="21" spans="2:11" ht="114" customHeight="1" x14ac:dyDescent="0.25">
      <c r="B21" s="228">
        <v>7</v>
      </c>
      <c r="C21" s="116" t="s">
        <v>162</v>
      </c>
      <c r="D21" s="362">
        <v>1</v>
      </c>
      <c r="E21" s="363"/>
      <c r="F21" s="120">
        <f>4237+3478</f>
        <v>7715</v>
      </c>
      <c r="G21" s="232"/>
      <c r="H21" s="232">
        <f>G21</f>
        <v>0</v>
      </c>
      <c r="I21" s="232">
        <f t="shared" si="4"/>
        <v>0</v>
      </c>
      <c r="J21" s="232">
        <f>F21</f>
        <v>7715</v>
      </c>
      <c r="K21" s="233">
        <f t="shared" ref="K21" si="6">G21+H21+I21+J21</f>
        <v>7715</v>
      </c>
    </row>
    <row r="22" spans="2:11" ht="39" customHeight="1" x14ac:dyDescent="0.25">
      <c r="B22" s="359" t="s">
        <v>7</v>
      </c>
      <c r="C22" s="360"/>
      <c r="D22" s="360"/>
      <c r="E22" s="360"/>
      <c r="F22" s="360"/>
      <c r="G22" s="253">
        <f>SUM(G15:G21)</f>
        <v>23385.75</v>
      </c>
      <c r="H22" s="253">
        <f>SUM(H15:H21)</f>
        <v>23385.75</v>
      </c>
      <c r="I22" s="253">
        <f>SUM(I15:I21)</f>
        <v>23385.75</v>
      </c>
      <c r="J22" s="253">
        <f>SUM(J15:J21)</f>
        <v>31100.75</v>
      </c>
      <c r="K22" s="258">
        <f>SUM(K15:K21)</f>
        <v>101258</v>
      </c>
    </row>
    <row r="26" spans="2:11" ht="23.25" x14ac:dyDescent="0.35">
      <c r="C26" s="100"/>
      <c r="D26" s="96"/>
      <c r="E26" s="96"/>
      <c r="F26" s="96"/>
      <c r="G26" s="96"/>
      <c r="H26" s="96"/>
      <c r="I26" s="361" t="s">
        <v>274</v>
      </c>
      <c r="J26" s="361"/>
    </row>
    <row r="27" spans="2:11" ht="23.25" x14ac:dyDescent="0.35">
      <c r="C27" s="100" t="s">
        <v>272</v>
      </c>
      <c r="D27" s="96"/>
      <c r="E27" s="96"/>
      <c r="F27" s="96"/>
      <c r="G27" s="96"/>
      <c r="H27" s="96"/>
      <c r="I27" s="361" t="s">
        <v>285</v>
      </c>
      <c r="J27" s="361"/>
    </row>
    <row r="28" spans="2:11" ht="23.25" x14ac:dyDescent="0.35">
      <c r="C28" s="100"/>
      <c r="D28" s="96"/>
      <c r="E28" s="96"/>
      <c r="F28" s="96"/>
      <c r="G28" s="96"/>
      <c r="H28" s="96"/>
      <c r="I28" s="96"/>
      <c r="J28" s="96"/>
    </row>
    <row r="29" spans="2:11" ht="23.25" x14ac:dyDescent="0.35">
      <c r="C29" s="254" t="s">
        <v>273</v>
      </c>
      <c r="D29" s="96"/>
      <c r="E29" s="96"/>
      <c r="F29" s="96"/>
      <c r="G29" s="96"/>
      <c r="H29" s="96"/>
      <c r="I29" s="383" t="s">
        <v>276</v>
      </c>
      <c r="J29" s="383"/>
    </row>
    <row r="30" spans="2:11" ht="23.25" x14ac:dyDescent="0.35">
      <c r="C30" s="100" t="s">
        <v>111</v>
      </c>
      <c r="D30" s="96"/>
      <c r="E30" s="96"/>
      <c r="F30" s="96"/>
      <c r="G30" s="96"/>
      <c r="H30" s="96"/>
      <c r="I30" s="361" t="s">
        <v>69</v>
      </c>
      <c r="J30" s="361"/>
    </row>
  </sheetData>
  <mergeCells count="19">
    <mergeCell ref="B12:K12"/>
    <mergeCell ref="B10:K10"/>
    <mergeCell ref="D18:E18"/>
    <mergeCell ref="D19:E19"/>
    <mergeCell ref="D20:E20"/>
    <mergeCell ref="G13:J13"/>
    <mergeCell ref="D15:E15"/>
    <mergeCell ref="D16:E16"/>
    <mergeCell ref="D17:E17"/>
    <mergeCell ref="F13:F14"/>
    <mergeCell ref="B13:B14"/>
    <mergeCell ref="C13:C14"/>
    <mergeCell ref="I26:J26"/>
    <mergeCell ref="I27:J27"/>
    <mergeCell ref="I29:J29"/>
    <mergeCell ref="I30:J30"/>
    <mergeCell ref="D13:E14"/>
    <mergeCell ref="D21:E21"/>
    <mergeCell ref="B22:F22"/>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35DBBE-E0BB-47BF-938B-042CA28F93FE}">
  <dimension ref="A6:F60"/>
  <sheetViews>
    <sheetView zoomScale="80" zoomScaleNormal="80" workbookViewId="0">
      <selection activeCell="E57" sqref="E57"/>
    </sheetView>
  </sheetViews>
  <sheetFormatPr defaultRowHeight="15" x14ac:dyDescent="0.25"/>
  <cols>
    <col min="2" max="2" width="54.7109375" customWidth="1"/>
    <col min="3" max="3" width="27.7109375" customWidth="1"/>
    <col min="4" max="4" width="31.42578125" customWidth="1"/>
    <col min="5" max="5" width="31.5703125" customWidth="1"/>
    <col min="6" max="6" width="30.42578125" customWidth="1"/>
  </cols>
  <sheetData>
    <row r="6" spans="1:6" ht="29.25" customHeight="1" x14ac:dyDescent="0.25"/>
    <row r="8" spans="1:6" ht="37.5" customHeight="1" x14ac:dyDescent="0.25">
      <c r="A8" s="362" t="s">
        <v>298</v>
      </c>
      <c r="B8" s="364"/>
      <c r="C8" s="364"/>
      <c r="D8" s="364"/>
      <c r="E8" s="364"/>
      <c r="F8" s="364"/>
    </row>
    <row r="9" spans="1:6" ht="45.75" customHeight="1" x14ac:dyDescent="0.35">
      <c r="A9" s="272" t="s">
        <v>188</v>
      </c>
      <c r="B9" s="272" t="s">
        <v>189</v>
      </c>
      <c r="C9" s="272" t="s">
        <v>190</v>
      </c>
      <c r="D9" s="272" t="s">
        <v>254</v>
      </c>
      <c r="E9" s="273" t="s">
        <v>191</v>
      </c>
      <c r="F9" s="274" t="s">
        <v>297</v>
      </c>
    </row>
    <row r="10" spans="1:6" s="88" customFormat="1" ht="32.1" customHeight="1" x14ac:dyDescent="0.25">
      <c r="A10" s="259">
        <v>1</v>
      </c>
      <c r="B10" s="260" t="s">
        <v>213</v>
      </c>
      <c r="C10" s="261">
        <v>1</v>
      </c>
      <c r="D10" s="262" t="s">
        <v>255</v>
      </c>
      <c r="E10" s="263">
        <v>15</v>
      </c>
      <c r="F10" s="264">
        <f>E10*C10</f>
        <v>15</v>
      </c>
    </row>
    <row r="11" spans="1:6" s="88" customFormat="1" ht="32.1" customHeight="1" x14ac:dyDescent="0.25">
      <c r="A11" s="259">
        <v>2</v>
      </c>
      <c r="B11" s="260" t="s">
        <v>214</v>
      </c>
      <c r="C11" s="261">
        <v>5</v>
      </c>
      <c r="D11" s="262" t="s">
        <v>255</v>
      </c>
      <c r="E11" s="263">
        <v>1.4</v>
      </c>
      <c r="F11" s="264">
        <f t="shared" ref="F11:F54" si="0">E11*C11</f>
        <v>7</v>
      </c>
    </row>
    <row r="12" spans="1:6" s="88" customFormat="1" ht="32.1" customHeight="1" x14ac:dyDescent="0.25">
      <c r="A12" s="259">
        <v>3</v>
      </c>
      <c r="B12" s="260" t="s">
        <v>215</v>
      </c>
      <c r="C12" s="261">
        <v>5</v>
      </c>
      <c r="D12" s="262" t="s">
        <v>255</v>
      </c>
      <c r="E12" s="263">
        <v>2.8</v>
      </c>
      <c r="F12" s="264">
        <f t="shared" si="0"/>
        <v>14</v>
      </c>
    </row>
    <row r="13" spans="1:6" s="88" customFormat="1" ht="32.1" customHeight="1" x14ac:dyDescent="0.25">
      <c r="A13" s="259">
        <v>4</v>
      </c>
      <c r="B13" s="260" t="s">
        <v>216</v>
      </c>
      <c r="C13" s="261">
        <v>5</v>
      </c>
      <c r="D13" s="262" t="s">
        <v>255</v>
      </c>
      <c r="E13" s="263">
        <v>2.9</v>
      </c>
      <c r="F13" s="264">
        <f t="shared" si="0"/>
        <v>14.5</v>
      </c>
    </row>
    <row r="14" spans="1:6" s="88" customFormat="1" ht="32.1" customHeight="1" x14ac:dyDescent="0.25">
      <c r="A14" s="259">
        <v>5</v>
      </c>
      <c r="B14" s="260" t="s">
        <v>217</v>
      </c>
      <c r="C14" s="261">
        <v>10</v>
      </c>
      <c r="D14" s="262" t="s">
        <v>255</v>
      </c>
      <c r="E14" s="263">
        <v>2.9</v>
      </c>
      <c r="F14" s="264">
        <f t="shared" si="0"/>
        <v>29</v>
      </c>
    </row>
    <row r="15" spans="1:6" s="88" customFormat="1" ht="32.1" customHeight="1" x14ac:dyDescent="0.25">
      <c r="A15" s="259">
        <v>6</v>
      </c>
      <c r="B15" s="260" t="s">
        <v>218</v>
      </c>
      <c r="C15" s="261">
        <v>5</v>
      </c>
      <c r="D15" s="262" t="s">
        <v>255</v>
      </c>
      <c r="E15" s="263">
        <v>1.6</v>
      </c>
      <c r="F15" s="264">
        <f t="shared" si="0"/>
        <v>8</v>
      </c>
    </row>
    <row r="16" spans="1:6" s="88" customFormat="1" ht="32.1" customHeight="1" x14ac:dyDescent="0.25">
      <c r="A16" s="259">
        <v>7</v>
      </c>
      <c r="B16" s="260" t="s">
        <v>219</v>
      </c>
      <c r="C16" s="261">
        <v>20</v>
      </c>
      <c r="D16" s="262" t="s">
        <v>255</v>
      </c>
      <c r="E16" s="263">
        <v>1.5</v>
      </c>
      <c r="F16" s="264">
        <f t="shared" si="0"/>
        <v>30</v>
      </c>
    </row>
    <row r="17" spans="1:6" s="88" customFormat="1" ht="32.1" customHeight="1" x14ac:dyDescent="0.25">
      <c r="A17" s="259">
        <v>8</v>
      </c>
      <c r="B17" s="260" t="s">
        <v>220</v>
      </c>
      <c r="C17" s="261">
        <v>13</v>
      </c>
      <c r="D17" s="262" t="s">
        <v>255</v>
      </c>
      <c r="E17" s="263">
        <v>1.3</v>
      </c>
      <c r="F17" s="264">
        <f t="shared" si="0"/>
        <v>16.900000000000002</v>
      </c>
    </row>
    <row r="18" spans="1:6" s="88" customFormat="1" ht="32.1" customHeight="1" x14ac:dyDescent="0.25">
      <c r="A18" s="259">
        <v>9</v>
      </c>
      <c r="B18" s="260" t="s">
        <v>221</v>
      </c>
      <c r="C18" s="261">
        <v>10</v>
      </c>
      <c r="D18" s="262" t="s">
        <v>255</v>
      </c>
      <c r="E18" s="263">
        <v>1.75</v>
      </c>
      <c r="F18" s="264">
        <f t="shared" si="0"/>
        <v>17.5</v>
      </c>
    </row>
    <row r="19" spans="1:6" s="88" customFormat="1" ht="32.1" customHeight="1" x14ac:dyDescent="0.25">
      <c r="A19" s="259">
        <v>10</v>
      </c>
      <c r="B19" s="260" t="s">
        <v>222</v>
      </c>
      <c r="C19" s="261">
        <v>5</v>
      </c>
      <c r="D19" s="262" t="s">
        <v>255</v>
      </c>
      <c r="E19" s="263">
        <v>2.2000000000000002</v>
      </c>
      <c r="F19" s="264">
        <f t="shared" si="0"/>
        <v>11</v>
      </c>
    </row>
    <row r="20" spans="1:6" s="88" customFormat="1" ht="32.1" customHeight="1" x14ac:dyDescent="0.25">
      <c r="A20" s="259">
        <v>11</v>
      </c>
      <c r="B20" s="260" t="s">
        <v>223</v>
      </c>
      <c r="C20" s="261">
        <v>4</v>
      </c>
      <c r="D20" s="262" t="s">
        <v>255</v>
      </c>
      <c r="E20" s="263">
        <v>2.1</v>
      </c>
      <c r="F20" s="264">
        <f t="shared" si="0"/>
        <v>8.4</v>
      </c>
    </row>
    <row r="21" spans="1:6" s="88" customFormat="1" ht="32.1" customHeight="1" x14ac:dyDescent="0.25">
      <c r="A21" s="259">
        <v>12</v>
      </c>
      <c r="B21" s="260" t="s">
        <v>224</v>
      </c>
      <c r="C21" s="261">
        <v>25</v>
      </c>
      <c r="D21" s="262" t="s">
        <v>255</v>
      </c>
      <c r="E21" s="263">
        <v>0.85</v>
      </c>
      <c r="F21" s="264">
        <f t="shared" si="0"/>
        <v>21.25</v>
      </c>
    </row>
    <row r="22" spans="1:6" s="88" customFormat="1" ht="32.1" customHeight="1" x14ac:dyDescent="0.25">
      <c r="A22" s="259">
        <v>13</v>
      </c>
      <c r="B22" s="260" t="s">
        <v>224</v>
      </c>
      <c r="C22" s="261">
        <v>6</v>
      </c>
      <c r="D22" s="261" t="s">
        <v>255</v>
      </c>
      <c r="E22" s="265">
        <v>0.85</v>
      </c>
      <c r="F22" s="264">
        <f t="shared" si="0"/>
        <v>5.0999999999999996</v>
      </c>
    </row>
    <row r="23" spans="1:6" s="88" customFormat="1" ht="32.1" customHeight="1" x14ac:dyDescent="0.25">
      <c r="A23" s="259">
        <v>14</v>
      </c>
      <c r="B23" s="260" t="s">
        <v>219</v>
      </c>
      <c r="C23" s="261">
        <v>8</v>
      </c>
      <c r="D23" s="261" t="s">
        <v>255</v>
      </c>
      <c r="E23" s="265">
        <v>1.5</v>
      </c>
      <c r="F23" s="264">
        <f t="shared" si="0"/>
        <v>12</v>
      </c>
    </row>
    <row r="24" spans="1:6" s="88" customFormat="1" ht="32.1" customHeight="1" x14ac:dyDescent="0.25">
      <c r="A24" s="259">
        <v>15</v>
      </c>
      <c r="B24" s="260" t="s">
        <v>225</v>
      </c>
      <c r="C24" s="261">
        <v>6</v>
      </c>
      <c r="D24" s="261" t="s">
        <v>255</v>
      </c>
      <c r="E24" s="265">
        <v>2.9</v>
      </c>
      <c r="F24" s="264">
        <f t="shared" si="0"/>
        <v>17.399999999999999</v>
      </c>
    </row>
    <row r="25" spans="1:6" s="88" customFormat="1" ht="32.1" customHeight="1" x14ac:dyDescent="0.25">
      <c r="A25" s="259">
        <v>16</v>
      </c>
      <c r="B25" s="260" t="s">
        <v>226</v>
      </c>
      <c r="C25" s="261">
        <v>6</v>
      </c>
      <c r="D25" s="261" t="s">
        <v>255</v>
      </c>
      <c r="E25" s="265">
        <v>3.6</v>
      </c>
      <c r="F25" s="264">
        <f t="shared" si="0"/>
        <v>21.6</v>
      </c>
    </row>
    <row r="26" spans="1:6" s="88" customFormat="1" ht="32.1" customHeight="1" x14ac:dyDescent="0.25">
      <c r="A26" s="259">
        <v>17</v>
      </c>
      <c r="B26" s="260" t="s">
        <v>220</v>
      </c>
      <c r="C26" s="261">
        <v>6</v>
      </c>
      <c r="D26" s="261" t="s">
        <v>255</v>
      </c>
      <c r="E26" s="265">
        <v>1.3</v>
      </c>
      <c r="F26" s="264">
        <f t="shared" si="0"/>
        <v>7.8000000000000007</v>
      </c>
    </row>
    <row r="27" spans="1:6" s="88" customFormat="1" ht="32.1" customHeight="1" x14ac:dyDescent="0.25">
      <c r="A27" s="259">
        <v>18</v>
      </c>
      <c r="B27" s="260" t="s">
        <v>227</v>
      </c>
      <c r="C27" s="261">
        <v>5</v>
      </c>
      <c r="D27" s="261" t="s">
        <v>255</v>
      </c>
      <c r="E27" s="265">
        <v>1.75</v>
      </c>
      <c r="F27" s="264">
        <f t="shared" si="0"/>
        <v>8.75</v>
      </c>
    </row>
    <row r="28" spans="1:6" s="88" customFormat="1" ht="32.1" customHeight="1" x14ac:dyDescent="0.25">
      <c r="A28" s="259">
        <v>19</v>
      </c>
      <c r="B28" s="260" t="s">
        <v>228</v>
      </c>
      <c r="C28" s="261">
        <v>8</v>
      </c>
      <c r="D28" s="261" t="s">
        <v>255</v>
      </c>
      <c r="E28" s="265">
        <v>1</v>
      </c>
      <c r="F28" s="264">
        <f t="shared" si="0"/>
        <v>8</v>
      </c>
    </row>
    <row r="29" spans="1:6" s="88" customFormat="1" ht="32.1" customHeight="1" x14ac:dyDescent="0.25">
      <c r="A29" s="259">
        <v>20</v>
      </c>
      <c r="B29" s="260" t="s">
        <v>214</v>
      </c>
      <c r="C29" s="261">
        <v>7</v>
      </c>
      <c r="D29" s="261" t="s">
        <v>255</v>
      </c>
      <c r="E29" s="265">
        <v>1.4</v>
      </c>
      <c r="F29" s="264">
        <f t="shared" si="0"/>
        <v>9.7999999999999989</v>
      </c>
    </row>
    <row r="30" spans="1:6" s="88" customFormat="1" ht="32.1" customHeight="1" x14ac:dyDescent="0.3">
      <c r="A30" s="259">
        <v>21</v>
      </c>
      <c r="B30" s="266" t="s">
        <v>229</v>
      </c>
      <c r="C30" s="259">
        <v>10</v>
      </c>
      <c r="D30" s="259" t="s">
        <v>256</v>
      </c>
      <c r="E30" s="265">
        <v>28</v>
      </c>
      <c r="F30" s="264">
        <f t="shared" si="0"/>
        <v>280</v>
      </c>
    </row>
    <row r="31" spans="1:6" s="88" customFormat="1" ht="32.1" customHeight="1" x14ac:dyDescent="0.3">
      <c r="A31" s="259">
        <v>22</v>
      </c>
      <c r="B31" s="266" t="s">
        <v>230</v>
      </c>
      <c r="C31" s="259">
        <v>20</v>
      </c>
      <c r="D31" s="259" t="s">
        <v>256</v>
      </c>
      <c r="E31" s="265">
        <v>21.5</v>
      </c>
      <c r="F31" s="264">
        <f t="shared" si="0"/>
        <v>430</v>
      </c>
    </row>
    <row r="32" spans="1:6" s="88" customFormat="1" ht="32.1" customHeight="1" x14ac:dyDescent="0.25">
      <c r="A32" s="259">
        <v>23</v>
      </c>
      <c r="B32" s="267" t="s">
        <v>231</v>
      </c>
      <c r="C32" s="259">
        <v>20</v>
      </c>
      <c r="D32" s="259" t="s">
        <v>256</v>
      </c>
      <c r="E32" s="265">
        <v>16.5</v>
      </c>
      <c r="F32" s="264">
        <f t="shared" si="0"/>
        <v>330</v>
      </c>
    </row>
    <row r="33" spans="1:6" s="88" customFormat="1" ht="32.1" customHeight="1" x14ac:dyDescent="0.25">
      <c r="A33" s="259">
        <v>24</v>
      </c>
      <c r="B33" s="267" t="s">
        <v>232</v>
      </c>
      <c r="C33" s="259">
        <v>3</v>
      </c>
      <c r="D33" s="259" t="s">
        <v>257</v>
      </c>
      <c r="E33" s="265">
        <v>120</v>
      </c>
      <c r="F33" s="264">
        <f t="shared" si="0"/>
        <v>360</v>
      </c>
    </row>
    <row r="34" spans="1:6" s="88" customFormat="1" ht="32.1" customHeight="1" x14ac:dyDescent="0.25">
      <c r="A34" s="259">
        <v>25</v>
      </c>
      <c r="B34" s="267" t="s">
        <v>233</v>
      </c>
      <c r="C34" s="259">
        <v>3</v>
      </c>
      <c r="D34" s="259" t="s">
        <v>257</v>
      </c>
      <c r="E34" s="265">
        <v>180</v>
      </c>
      <c r="F34" s="264">
        <f t="shared" si="0"/>
        <v>540</v>
      </c>
    </row>
    <row r="35" spans="1:6" s="88" customFormat="1" ht="32.1" customHeight="1" x14ac:dyDescent="0.25">
      <c r="A35" s="259">
        <v>26</v>
      </c>
      <c r="B35" s="267" t="s">
        <v>234</v>
      </c>
      <c r="C35" s="259">
        <v>15</v>
      </c>
      <c r="D35" s="259" t="s">
        <v>255</v>
      </c>
      <c r="E35" s="265">
        <v>3</v>
      </c>
      <c r="F35" s="264">
        <f t="shared" si="0"/>
        <v>45</v>
      </c>
    </row>
    <row r="36" spans="1:6" s="88" customFormat="1" ht="32.1" customHeight="1" x14ac:dyDescent="0.25">
      <c r="A36" s="259">
        <v>27</v>
      </c>
      <c r="B36" s="267" t="s">
        <v>235</v>
      </c>
      <c r="C36" s="259">
        <v>20</v>
      </c>
      <c r="D36" s="259" t="s">
        <v>255</v>
      </c>
      <c r="E36" s="265">
        <v>6.5</v>
      </c>
      <c r="F36" s="264">
        <f t="shared" si="0"/>
        <v>130</v>
      </c>
    </row>
    <row r="37" spans="1:6" s="88" customFormat="1" ht="32.1" customHeight="1" x14ac:dyDescent="0.25">
      <c r="A37" s="259">
        <v>28</v>
      </c>
      <c r="B37" s="267" t="s">
        <v>236</v>
      </c>
      <c r="C37" s="259">
        <v>20</v>
      </c>
      <c r="D37" s="259" t="s">
        <v>255</v>
      </c>
      <c r="E37" s="265">
        <v>3.5</v>
      </c>
      <c r="F37" s="264">
        <f t="shared" si="0"/>
        <v>70</v>
      </c>
    </row>
    <row r="38" spans="1:6" s="88" customFormat="1" ht="32.1" customHeight="1" x14ac:dyDescent="0.25">
      <c r="A38" s="259">
        <v>29</v>
      </c>
      <c r="B38" s="267" t="s">
        <v>237</v>
      </c>
      <c r="C38" s="259">
        <v>15</v>
      </c>
      <c r="D38" s="259" t="s">
        <v>255</v>
      </c>
      <c r="E38" s="265">
        <v>2.5</v>
      </c>
      <c r="F38" s="264">
        <f t="shared" si="0"/>
        <v>37.5</v>
      </c>
    </row>
    <row r="39" spans="1:6" s="88" customFormat="1" ht="32.1" customHeight="1" x14ac:dyDescent="0.25">
      <c r="A39" s="259">
        <v>30</v>
      </c>
      <c r="B39" s="267" t="s">
        <v>238</v>
      </c>
      <c r="C39" s="259">
        <v>14</v>
      </c>
      <c r="D39" s="259" t="s">
        <v>255</v>
      </c>
      <c r="E39" s="265">
        <v>2.5</v>
      </c>
      <c r="F39" s="264">
        <f t="shared" si="0"/>
        <v>35</v>
      </c>
    </row>
    <row r="40" spans="1:6" s="88" customFormat="1" ht="32.1" customHeight="1" x14ac:dyDescent="0.25">
      <c r="A40" s="259">
        <v>31</v>
      </c>
      <c r="B40" s="267" t="s">
        <v>239</v>
      </c>
      <c r="C40" s="259">
        <v>15</v>
      </c>
      <c r="D40" s="259" t="s">
        <v>255</v>
      </c>
      <c r="E40" s="265">
        <v>5</v>
      </c>
      <c r="F40" s="264">
        <f t="shared" si="0"/>
        <v>75</v>
      </c>
    </row>
    <row r="41" spans="1:6" s="88" customFormat="1" ht="32.1" customHeight="1" x14ac:dyDescent="0.25">
      <c r="A41" s="259">
        <v>32</v>
      </c>
      <c r="B41" s="267" t="s">
        <v>240</v>
      </c>
      <c r="C41" s="259">
        <v>20</v>
      </c>
      <c r="D41" s="259" t="s">
        <v>255</v>
      </c>
      <c r="E41" s="265">
        <v>4</v>
      </c>
      <c r="F41" s="264">
        <f t="shared" si="0"/>
        <v>80</v>
      </c>
    </row>
    <row r="42" spans="1:6" s="88" customFormat="1" ht="32.1" customHeight="1" x14ac:dyDescent="0.25">
      <c r="A42" s="259">
        <v>33</v>
      </c>
      <c r="B42" s="267" t="s">
        <v>241</v>
      </c>
      <c r="C42" s="259">
        <v>20</v>
      </c>
      <c r="D42" s="259" t="s">
        <v>255</v>
      </c>
      <c r="E42" s="265">
        <v>4</v>
      </c>
      <c r="F42" s="264">
        <f t="shared" si="0"/>
        <v>80</v>
      </c>
    </row>
    <row r="43" spans="1:6" s="88" customFormat="1" ht="32.1" customHeight="1" x14ac:dyDescent="0.25">
      <c r="A43" s="259">
        <v>34</v>
      </c>
      <c r="B43" s="267" t="s">
        <v>242</v>
      </c>
      <c r="C43" s="259">
        <v>15</v>
      </c>
      <c r="D43" s="259" t="s">
        <v>255</v>
      </c>
      <c r="E43" s="265">
        <v>3</v>
      </c>
      <c r="F43" s="264">
        <f t="shared" si="0"/>
        <v>45</v>
      </c>
    </row>
    <row r="44" spans="1:6" s="88" customFormat="1" ht="32.1" customHeight="1" x14ac:dyDescent="0.25">
      <c r="A44" s="259">
        <v>35</v>
      </c>
      <c r="B44" s="267" t="s">
        <v>243</v>
      </c>
      <c r="C44" s="259">
        <v>15</v>
      </c>
      <c r="D44" s="259" t="s">
        <v>255</v>
      </c>
      <c r="E44" s="265">
        <v>5</v>
      </c>
      <c r="F44" s="264">
        <f t="shared" si="0"/>
        <v>75</v>
      </c>
    </row>
    <row r="45" spans="1:6" s="88" customFormat="1" ht="32.1" customHeight="1" x14ac:dyDescent="0.25">
      <c r="A45" s="259">
        <v>36</v>
      </c>
      <c r="B45" s="267" t="s">
        <v>244</v>
      </c>
      <c r="C45" s="259">
        <v>10</v>
      </c>
      <c r="D45" s="259" t="s">
        <v>255</v>
      </c>
      <c r="E45" s="265">
        <v>5</v>
      </c>
      <c r="F45" s="264">
        <f t="shared" si="0"/>
        <v>50</v>
      </c>
    </row>
    <row r="46" spans="1:6" s="88" customFormat="1" ht="32.1" customHeight="1" x14ac:dyDescent="0.25">
      <c r="A46" s="259">
        <v>37</v>
      </c>
      <c r="B46" s="267" t="s">
        <v>245</v>
      </c>
      <c r="C46" s="259">
        <v>20</v>
      </c>
      <c r="D46" s="259" t="s">
        <v>255</v>
      </c>
      <c r="E46" s="265">
        <v>6</v>
      </c>
      <c r="F46" s="264">
        <f t="shared" si="0"/>
        <v>120</v>
      </c>
    </row>
    <row r="47" spans="1:6" s="88" customFormat="1" ht="32.1" customHeight="1" x14ac:dyDescent="0.25">
      <c r="A47" s="259">
        <v>38</v>
      </c>
      <c r="B47" s="267" t="s">
        <v>246</v>
      </c>
      <c r="C47" s="259">
        <v>20</v>
      </c>
      <c r="D47" s="259" t="s">
        <v>255</v>
      </c>
      <c r="E47" s="265">
        <v>3</v>
      </c>
      <c r="F47" s="264">
        <f t="shared" si="0"/>
        <v>60</v>
      </c>
    </row>
    <row r="48" spans="1:6" s="88" customFormat="1" ht="32.1" customHeight="1" x14ac:dyDescent="0.25">
      <c r="A48" s="259">
        <v>39</v>
      </c>
      <c r="B48" s="267" t="s">
        <v>247</v>
      </c>
      <c r="C48" s="259">
        <v>19</v>
      </c>
      <c r="D48" s="259" t="s">
        <v>255</v>
      </c>
      <c r="E48" s="265">
        <v>2</v>
      </c>
      <c r="F48" s="264">
        <f t="shared" si="0"/>
        <v>38</v>
      </c>
    </row>
    <row r="49" spans="1:6" s="88" customFormat="1" ht="32.1" customHeight="1" x14ac:dyDescent="0.25">
      <c r="A49" s="259">
        <v>40</v>
      </c>
      <c r="B49" s="267" t="s">
        <v>248</v>
      </c>
      <c r="C49" s="259">
        <v>15</v>
      </c>
      <c r="D49" s="259" t="s">
        <v>255</v>
      </c>
      <c r="E49" s="265">
        <v>3</v>
      </c>
      <c r="F49" s="264">
        <f t="shared" si="0"/>
        <v>45</v>
      </c>
    </row>
    <row r="50" spans="1:6" s="88" customFormat="1" ht="32.1" customHeight="1" x14ac:dyDescent="0.25">
      <c r="A50" s="259">
        <v>41</v>
      </c>
      <c r="B50" s="267" t="s">
        <v>249</v>
      </c>
      <c r="C50" s="259">
        <v>16</v>
      </c>
      <c r="D50" s="259" t="s">
        <v>255</v>
      </c>
      <c r="E50" s="265">
        <v>2</v>
      </c>
      <c r="F50" s="264">
        <f t="shared" si="0"/>
        <v>32</v>
      </c>
    </row>
    <row r="51" spans="1:6" s="88" customFormat="1" ht="32.1" customHeight="1" x14ac:dyDescent="0.25">
      <c r="A51" s="259">
        <v>42</v>
      </c>
      <c r="B51" s="267" t="s">
        <v>250</v>
      </c>
      <c r="C51" s="259">
        <v>16</v>
      </c>
      <c r="D51" s="259" t="s">
        <v>255</v>
      </c>
      <c r="E51" s="265">
        <v>2</v>
      </c>
      <c r="F51" s="264">
        <f t="shared" si="0"/>
        <v>32</v>
      </c>
    </row>
    <row r="52" spans="1:6" ht="32.1" customHeight="1" x14ac:dyDescent="0.25">
      <c r="A52" s="259">
        <v>43</v>
      </c>
      <c r="B52" s="267" t="s">
        <v>251</v>
      </c>
      <c r="C52" s="259">
        <v>15</v>
      </c>
      <c r="D52" s="259" t="s">
        <v>255</v>
      </c>
      <c r="E52" s="265">
        <v>2.5</v>
      </c>
      <c r="F52" s="264">
        <f t="shared" si="0"/>
        <v>37.5</v>
      </c>
    </row>
    <row r="53" spans="1:6" ht="32.1" customHeight="1" x14ac:dyDescent="0.25">
      <c r="A53" s="259">
        <v>44</v>
      </c>
      <c r="B53" s="267" t="s">
        <v>252</v>
      </c>
      <c r="C53" s="259">
        <v>15</v>
      </c>
      <c r="D53" s="259" t="s">
        <v>255</v>
      </c>
      <c r="E53" s="265">
        <v>2.5</v>
      </c>
      <c r="F53" s="264">
        <f t="shared" si="0"/>
        <v>37.5</v>
      </c>
    </row>
    <row r="54" spans="1:6" ht="31.5" customHeight="1" x14ac:dyDescent="0.25">
      <c r="A54" s="259">
        <v>45</v>
      </c>
      <c r="B54" s="268" t="s">
        <v>253</v>
      </c>
      <c r="C54" s="269">
        <v>15</v>
      </c>
      <c r="D54" s="269" t="s">
        <v>255</v>
      </c>
      <c r="E54" s="270">
        <v>3.5</v>
      </c>
      <c r="F54" s="264">
        <f t="shared" si="0"/>
        <v>52.5</v>
      </c>
    </row>
    <row r="55" spans="1:6" ht="31.5" customHeight="1" x14ac:dyDescent="0.25">
      <c r="A55" s="387" t="s">
        <v>7</v>
      </c>
      <c r="B55" s="388"/>
      <c r="C55" s="388"/>
      <c r="D55" s="388"/>
      <c r="E55" s="389"/>
      <c r="F55" s="271">
        <f>SUM(F10:F54)</f>
        <v>3400</v>
      </c>
    </row>
    <row r="56" spans="1:6" ht="42.75" customHeight="1" x14ac:dyDescent="0.25"/>
    <row r="57" spans="1:6" ht="42" customHeight="1" x14ac:dyDescent="0.25"/>
    <row r="60" spans="1:6" ht="38.25" customHeight="1" x14ac:dyDescent="0.25"/>
  </sheetData>
  <mergeCells count="2">
    <mergeCell ref="A8:F8"/>
    <mergeCell ref="A55:E55"/>
  </mergeCells>
  <pageMargins left="0.35" right="0.35" top="0.2" bottom="0.2" header="0.3" footer="0.3"/>
  <pageSetup paperSize="9" scale="5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5</vt:i4>
      </vt:variant>
    </vt:vector>
  </HeadingPairs>
  <TitlesOfParts>
    <vt:vector size="17" baseType="lpstr">
      <vt:lpstr>Sheet2</vt:lpstr>
      <vt:lpstr>Sheet3</vt:lpstr>
      <vt:lpstr>Sheet1 (3)</vt:lpstr>
      <vt:lpstr>Sheet1 (2)</vt:lpstr>
      <vt:lpstr>Plano Exekusaun SV 2026</vt:lpstr>
      <vt:lpstr>Plano Exekusaun BS Aluguer</vt:lpstr>
      <vt:lpstr>Plano Exekusaun BS 2026 </vt:lpstr>
      <vt:lpstr>Sheet1</vt:lpstr>
      <vt:lpstr>Planeamento</vt:lpstr>
      <vt:lpstr>Aprovisionamento</vt:lpstr>
      <vt:lpstr>Salario Vensimento</vt:lpstr>
      <vt:lpstr>Pedido Q1 </vt:lpstr>
      <vt:lpstr>Aprovisionamento!Print_Area</vt:lpstr>
      <vt:lpstr>Planeamento!Print_Area</vt:lpstr>
      <vt:lpstr>'Plano Exekusaun BS 2026 '!Print_Area</vt:lpstr>
      <vt:lpstr>'Plano Exekusaun BS Aluguer'!Print_Area</vt:lpstr>
      <vt:lpstr>'Plano Exekusaun SV 2026'!Print_Area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rdtl.574@outlook.com</cp:lastModifiedBy>
  <cp:lastPrinted>2026-01-29T06:58:35Z</cp:lastPrinted>
  <dcterms:created xsi:type="dcterms:W3CDTF">2024-08-19T07:17:07Z</dcterms:created>
  <dcterms:modified xsi:type="dcterms:W3CDTF">2026-02-10T02:49:55Z</dcterms:modified>
</cp:coreProperties>
</file>